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 tabRatio="737" activeTab="4"/>
  </bookViews>
  <sheets>
    <sheet name="Grunnur  " sheetId="1" r:id="rId1"/>
    <sheet name="Reikningur 1" sheetId="2" r:id="rId2"/>
    <sheet name="Reikningur 2" sheetId="3" r:id="rId3"/>
    <sheet name="Reikningur 3" sheetId="4" r:id="rId4"/>
    <sheet name="Reikningur 4" sheetId="5" r:id="rId5"/>
    <sheet name="Reikningur 5" sheetId="11" r:id="rId6"/>
    <sheet name="Reikningur 6" sheetId="9" r:id="rId7"/>
    <sheet name="Reikningur 7" sheetId="8" r:id="rId8"/>
    <sheet name="Reikningur 8" sheetId="7" r:id="rId9"/>
    <sheet name="Reikningur 9" sheetId="6" r:id="rId10"/>
    <sheet name="Reikningur 10" sheetId="10" r:id="rId11"/>
    <sheet name="Reikningur 11" sheetId="12" r:id="rId12"/>
    <sheet name="Reikningur 12" sheetId="13" r:id="rId13"/>
    <sheet name="Reikningur 13" sheetId="15" r:id="rId14"/>
    <sheet name="Reikningur 14" sheetId="14" r:id="rId15"/>
    <sheet name="Reikningur 15" sheetId="16" r:id="rId16"/>
  </sheets>
  <definedNames>
    <definedName name="Biðtími_smábíll_einv">'Grunnur  '!$B$23</definedName>
    <definedName name="Biðtími_vörubíll_einv">'Grunnur  '!$B$24</definedName>
    <definedName name="Fast_gjald_fjöldi_gjalddaga">'Grunnur  '!$G$19</definedName>
    <definedName name="Fast_gjald_hlutfall">'Grunnur  '!$G$14</definedName>
    <definedName name="Fast_gjald_kr.">'Grunnur  '!$G$16</definedName>
    <definedName name="Fast_gjald_prósent">'Grunnur  '!$G$14</definedName>
    <definedName name="Grunnvísitala_Laun">'Grunnur  '!$D$35</definedName>
    <definedName name="Grunnvísitala_Vinnuvélar">'Grunnur  '!$C$35</definedName>
    <definedName name="Grunnvísitala_vörubílar">'Grunnur  '!$B$35</definedName>
    <definedName name="Heildarupphæð">'Grunnur  '!$D$26</definedName>
    <definedName name="Kennitala">'Grunnur  '!$F$7</definedName>
    <definedName name="_xlnm.Print_Titles" localSheetId="1">'Reikningur 1'!$1:$9</definedName>
    <definedName name="Smábíll_einv">'Grunnur  '!$B$16</definedName>
    <definedName name="Verðbætur_prósent">'Reikningur 1'!#REF!</definedName>
    <definedName name="Vinnulaun_vægi">'Grunnur  '!$B$7</definedName>
    <definedName name="Vinnuvél_1_einv">'Grunnur  '!$B$19</definedName>
    <definedName name="Vinnuvél_2_einv">'Grunnur  '!$B$20</definedName>
    <definedName name="Vinnuvél_3_einv">'Grunnur  '!$B$21</definedName>
    <definedName name="Vinnuvél_4_einv">'Grunnur  '!$B$22</definedName>
    <definedName name="Vinnuvélar_vægi">'Grunnur  '!$D$7</definedName>
    <definedName name="Vísitala_vægi_laun">'Grunnur  '!$D$36</definedName>
    <definedName name="Vísitala_vægi_vinnuvélar">'Grunnur  '!$C$36</definedName>
    <definedName name="Vísitala_Vægi_vörubílar">'Grunnur  '!$B$36</definedName>
    <definedName name="Vísitöluviðmið_pr_mán.">'Grunnur  '!$E$35</definedName>
    <definedName name="Vörubílar_vægi">'Grunnur  '!$C$7</definedName>
    <definedName name="Vörubíll_mokstur_einv">'Grunnur  '!$B$17</definedName>
    <definedName name="Vörubíll_undirtönn_einv">'Grunnur  '!$B$18</definedName>
  </definedNames>
  <calcPr calcId="125725"/>
</workbook>
</file>

<file path=xl/calcChain.xml><?xml version="1.0" encoding="utf-8"?>
<calcChain xmlns="http://schemas.openxmlformats.org/spreadsheetml/2006/main">
  <c r="E66" i="1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F42"/>
  <c r="F43" s="1"/>
  <c r="E42"/>
  <c r="G41"/>
  <c r="E41"/>
  <c r="H41" s="1"/>
  <c r="E40"/>
  <c r="F44" l="1"/>
  <c r="G43"/>
  <c r="H43"/>
  <c r="G42"/>
  <c r="H42" s="1"/>
  <c r="Z9" i="16"/>
  <c r="T9"/>
  <c r="Z7"/>
  <c r="T7"/>
  <c r="T5"/>
  <c r="Z9" i="14"/>
  <c r="T9"/>
  <c r="Z7"/>
  <c r="T7"/>
  <c r="T5"/>
  <c r="Z9" i="15"/>
  <c r="T9"/>
  <c r="Z7"/>
  <c r="T7"/>
  <c r="T5"/>
  <c r="Z9" i="13"/>
  <c r="T9"/>
  <c r="Z7"/>
  <c r="T7"/>
  <c r="T5"/>
  <c r="Z9" i="12"/>
  <c r="T9"/>
  <c r="Z7"/>
  <c r="T7"/>
  <c r="T5"/>
  <c r="Z9" i="10"/>
  <c r="T9"/>
  <c r="Z7"/>
  <c r="T7"/>
  <c r="T5"/>
  <c r="Z9" i="7"/>
  <c r="T9"/>
  <c r="Z7"/>
  <c r="T7"/>
  <c r="T5"/>
  <c r="Z9" i="6"/>
  <c r="T9"/>
  <c r="Z7"/>
  <c r="T7"/>
  <c r="T5"/>
  <c r="Z9" i="2"/>
  <c r="T9"/>
  <c r="Z7"/>
  <c r="T7"/>
  <c r="T5"/>
  <c r="Z9" i="3"/>
  <c r="T9"/>
  <c r="Z7"/>
  <c r="T7"/>
  <c r="T5"/>
  <c r="Z9" i="4"/>
  <c r="T9"/>
  <c r="Z7"/>
  <c r="T7"/>
  <c r="T5"/>
  <c r="Z9" i="5"/>
  <c r="T9"/>
  <c r="Z7"/>
  <c r="T7"/>
  <c r="T5"/>
  <c r="Z9" i="11"/>
  <c r="T9"/>
  <c r="Z7"/>
  <c r="T7"/>
  <c r="T5"/>
  <c r="Z9" i="9"/>
  <c r="T9"/>
  <c r="Z7"/>
  <c r="T7"/>
  <c r="T5"/>
  <c r="Z9" i="8"/>
  <c r="T9"/>
  <c r="Z7"/>
  <c r="T7"/>
  <c r="T5"/>
  <c r="O9"/>
  <c r="I9"/>
  <c r="I7"/>
  <c r="I5"/>
  <c r="O9" i="7"/>
  <c r="J9"/>
  <c r="J7"/>
  <c r="J5"/>
  <c r="A31" i="16"/>
  <c r="A31" i="14"/>
  <c r="A31" i="15"/>
  <c r="A31" i="13"/>
  <c r="A31" i="12"/>
  <c r="A31" i="10"/>
  <c r="A31" i="6"/>
  <c r="A31" i="7"/>
  <c r="A31" i="8"/>
  <c r="A31" i="9"/>
  <c r="A31" i="11"/>
  <c r="A31" i="5"/>
  <c r="A31" i="4"/>
  <c r="A31" i="3"/>
  <c r="A31" i="2"/>
  <c r="C17" i="3"/>
  <c r="F45" i="1" l="1"/>
  <c r="G44"/>
  <c r="H44" s="1"/>
  <c r="C24" i="16"/>
  <c r="A24"/>
  <c r="C23"/>
  <c r="A23"/>
  <c r="C22"/>
  <c r="A22"/>
  <c r="C21"/>
  <c r="A21"/>
  <c r="C20"/>
  <c r="A20"/>
  <c r="C19"/>
  <c r="A19"/>
  <c r="C18"/>
  <c r="A18"/>
  <c r="C17"/>
  <c r="A17"/>
  <c r="C16"/>
  <c r="A16"/>
  <c r="D14"/>
  <c r="O9"/>
  <c r="I9"/>
  <c r="F8"/>
  <c r="G8" s="1"/>
  <c r="O7"/>
  <c r="I7"/>
  <c r="I5"/>
  <c r="A17" i="14"/>
  <c r="A18"/>
  <c r="A19"/>
  <c r="A20"/>
  <c r="A21"/>
  <c r="A22"/>
  <c r="A23"/>
  <c r="A24"/>
  <c r="A16"/>
  <c r="A17" i="15"/>
  <c r="A18"/>
  <c r="A19"/>
  <c r="A20"/>
  <c r="A21"/>
  <c r="A22"/>
  <c r="A23"/>
  <c r="A24"/>
  <c r="A16"/>
  <c r="A17" i="13"/>
  <c r="A18"/>
  <c r="A19"/>
  <c r="A20"/>
  <c r="A21"/>
  <c r="A22"/>
  <c r="A23"/>
  <c r="A24"/>
  <c r="A16"/>
  <c r="A17" i="12"/>
  <c r="A18"/>
  <c r="A19"/>
  <c r="A20"/>
  <c r="A21"/>
  <c r="A22"/>
  <c r="A23"/>
  <c r="A24"/>
  <c r="A16"/>
  <c r="A17" i="10"/>
  <c r="A18"/>
  <c r="A19"/>
  <c r="A20"/>
  <c r="A21"/>
  <c r="A22"/>
  <c r="A23"/>
  <c r="A24"/>
  <c r="A16"/>
  <c r="A17" i="6"/>
  <c r="A18"/>
  <c r="A19"/>
  <c r="A20"/>
  <c r="A21"/>
  <c r="A22"/>
  <c r="A23"/>
  <c r="A24"/>
  <c r="A16"/>
  <c r="A17" i="7"/>
  <c r="A18"/>
  <c r="A19"/>
  <c r="A20"/>
  <c r="A21"/>
  <c r="A22"/>
  <c r="A23"/>
  <c r="A24"/>
  <c r="A16"/>
  <c r="A17" i="8"/>
  <c r="A18"/>
  <c r="A19"/>
  <c r="A20"/>
  <c r="A21"/>
  <c r="A22"/>
  <c r="A23"/>
  <c r="A24"/>
  <c r="A16"/>
  <c r="A17" i="9"/>
  <c r="A18"/>
  <c r="A19"/>
  <c r="A20"/>
  <c r="A21"/>
  <c r="A22"/>
  <c r="A23"/>
  <c r="A24"/>
  <c r="A16"/>
  <c r="A17" i="11"/>
  <c r="A18"/>
  <c r="A19"/>
  <c r="A20"/>
  <c r="A21"/>
  <c r="A22"/>
  <c r="A23"/>
  <c r="A24"/>
  <c r="A16"/>
  <c r="A17" i="5"/>
  <c r="A18"/>
  <c r="A19"/>
  <c r="A20"/>
  <c r="A21"/>
  <c r="A22"/>
  <c r="A23"/>
  <c r="A24"/>
  <c r="A16"/>
  <c r="A17" i="4"/>
  <c r="A18"/>
  <c r="A19"/>
  <c r="A20"/>
  <c r="A21"/>
  <c r="A22"/>
  <c r="A23"/>
  <c r="A24"/>
  <c r="A16"/>
  <c r="A17" i="3"/>
  <c r="A18"/>
  <c r="A19"/>
  <c r="A20"/>
  <c r="A21"/>
  <c r="A22"/>
  <c r="A23"/>
  <c r="A24"/>
  <c r="A16"/>
  <c r="A18" i="2"/>
  <c r="A19"/>
  <c r="A20"/>
  <c r="A21"/>
  <c r="A22"/>
  <c r="A23"/>
  <c r="A24"/>
  <c r="A17"/>
  <c r="A16"/>
  <c r="C24"/>
  <c r="C23"/>
  <c r="C22"/>
  <c r="C21"/>
  <c r="C20"/>
  <c r="C19"/>
  <c r="C18"/>
  <c r="C17"/>
  <c r="C16"/>
  <c r="F46" i="1" l="1"/>
  <c r="G45"/>
  <c r="H45" s="1"/>
  <c r="D16" i="16"/>
  <c r="D17"/>
  <c r="D18"/>
  <c r="D19"/>
  <c r="D20"/>
  <c r="D21"/>
  <c r="D22"/>
  <c r="D23"/>
  <c r="D24"/>
  <c r="D25"/>
  <c r="D14" i="14"/>
  <c r="D14" i="15"/>
  <c r="D14" i="13"/>
  <c r="D14" i="12"/>
  <c r="D14" i="10"/>
  <c r="D14" i="6"/>
  <c r="D14" i="7"/>
  <c r="D14" i="8"/>
  <c r="D14" i="9"/>
  <c r="D14" i="11"/>
  <c r="D14" i="5"/>
  <c r="D14" i="4"/>
  <c r="D14" i="3"/>
  <c r="F47" i="1" l="1"/>
  <c r="G46"/>
  <c r="H46" s="1"/>
  <c r="C37" i="2"/>
  <c r="D14"/>
  <c r="A5"/>
  <c r="A5" i="16" s="1"/>
  <c r="O9" i="14"/>
  <c r="I9"/>
  <c r="O7"/>
  <c r="I7"/>
  <c r="I5"/>
  <c r="O7" i="15"/>
  <c r="O9"/>
  <c r="I9"/>
  <c r="I7"/>
  <c r="I5"/>
  <c r="O7" i="13"/>
  <c r="O9"/>
  <c r="I9"/>
  <c r="I7"/>
  <c r="I5"/>
  <c r="O7" i="3"/>
  <c r="O9" i="12"/>
  <c r="I9"/>
  <c r="O7"/>
  <c r="I7"/>
  <c r="I5"/>
  <c r="O7" i="10"/>
  <c r="O9"/>
  <c r="I9"/>
  <c r="I5"/>
  <c r="I7"/>
  <c r="O9" i="6"/>
  <c r="I9"/>
  <c r="O7"/>
  <c r="I7"/>
  <c r="I5"/>
  <c r="O7" i="7"/>
  <c r="O7" i="8"/>
  <c r="O7" i="9"/>
  <c r="O9"/>
  <c r="I9"/>
  <c r="I7"/>
  <c r="I5"/>
  <c r="O9" i="11"/>
  <c r="I9"/>
  <c r="O7"/>
  <c r="I7"/>
  <c r="I5"/>
  <c r="O9" i="5"/>
  <c r="I9"/>
  <c r="O7"/>
  <c r="I7"/>
  <c r="I5"/>
  <c r="O7" i="4"/>
  <c r="O9"/>
  <c r="I9"/>
  <c r="I7"/>
  <c r="I5"/>
  <c r="O9" i="3"/>
  <c r="I9"/>
  <c r="I7"/>
  <c r="I5"/>
  <c r="P7" i="2"/>
  <c r="P9"/>
  <c r="I5"/>
  <c r="I7"/>
  <c r="I9"/>
  <c r="E7"/>
  <c r="A7"/>
  <c r="A7" i="16" s="1"/>
  <c r="F8" i="2"/>
  <c r="C16" i="3"/>
  <c r="D16" s="1"/>
  <c r="C16" i="4"/>
  <c r="D16" s="1"/>
  <c r="C16" i="5"/>
  <c r="D16" s="1"/>
  <c r="C16" i="11"/>
  <c r="D16" s="1"/>
  <c r="C16" i="9"/>
  <c r="D16" s="1"/>
  <c r="C16" i="8"/>
  <c r="D16" s="1"/>
  <c r="C16" i="7"/>
  <c r="D16" s="1"/>
  <c r="C16" i="6"/>
  <c r="D16" s="1"/>
  <c r="C16" i="10"/>
  <c r="D16" s="1"/>
  <c r="C16" i="12"/>
  <c r="D16" s="1"/>
  <c r="C16" i="13"/>
  <c r="D16" s="1"/>
  <c r="C16" i="15"/>
  <c r="D16" s="1"/>
  <c r="C16" i="14"/>
  <c r="D16" s="1"/>
  <c r="D17" i="3"/>
  <c r="C17" i="4"/>
  <c r="D17" s="1"/>
  <c r="C17" i="5"/>
  <c r="D17" s="1"/>
  <c r="C17" i="11"/>
  <c r="D17" s="1"/>
  <c r="C17" i="9"/>
  <c r="D17" s="1"/>
  <c r="C17" i="8"/>
  <c r="D17" s="1"/>
  <c r="C17" i="7"/>
  <c r="D17" s="1"/>
  <c r="C17" i="6"/>
  <c r="D17" s="1"/>
  <c r="C17" i="10"/>
  <c r="D17" s="1"/>
  <c r="C17" i="12"/>
  <c r="D17" s="1"/>
  <c r="C17" i="13"/>
  <c r="D17" s="1"/>
  <c r="C17" i="15"/>
  <c r="D17" s="1"/>
  <c r="C17" i="14"/>
  <c r="D17" s="1"/>
  <c r="C18" i="3"/>
  <c r="D18" s="1"/>
  <c r="C18" i="4"/>
  <c r="D18" s="1"/>
  <c r="C18" i="5"/>
  <c r="D18" s="1"/>
  <c r="C18" i="11"/>
  <c r="D18" s="1"/>
  <c r="C18" i="9"/>
  <c r="D18" s="1"/>
  <c r="C18" i="8"/>
  <c r="D18" s="1"/>
  <c r="C18" i="7"/>
  <c r="D18" s="1"/>
  <c r="C18" i="6"/>
  <c r="D18" s="1"/>
  <c r="C18" i="10"/>
  <c r="D18" s="1"/>
  <c r="C18" i="12"/>
  <c r="D18" s="1"/>
  <c r="C18" i="13"/>
  <c r="D18" s="1"/>
  <c r="C18" i="15"/>
  <c r="D18" s="1"/>
  <c r="C18" i="14"/>
  <c r="D18" s="1"/>
  <c r="C19" i="3"/>
  <c r="D19" s="1"/>
  <c r="C19" i="4"/>
  <c r="D19" s="1"/>
  <c r="C19" i="5"/>
  <c r="D19" s="1"/>
  <c r="C19" i="11"/>
  <c r="D19" s="1"/>
  <c r="C19" i="9"/>
  <c r="D19" s="1"/>
  <c r="C19" i="8"/>
  <c r="D19" s="1"/>
  <c r="C19" i="7"/>
  <c r="D19" s="1"/>
  <c r="C19" i="6"/>
  <c r="D19" s="1"/>
  <c r="C19" i="10"/>
  <c r="D19" s="1"/>
  <c r="C19" i="12"/>
  <c r="D19" s="1"/>
  <c r="C19" i="13"/>
  <c r="D19" s="1"/>
  <c r="C19" i="15"/>
  <c r="D19" s="1"/>
  <c r="C19" i="14"/>
  <c r="D19" s="1"/>
  <c r="C20" i="3"/>
  <c r="D20" s="1"/>
  <c r="C20" i="4"/>
  <c r="D20" s="1"/>
  <c r="C20" i="5"/>
  <c r="D20" s="1"/>
  <c r="C20" i="11"/>
  <c r="D20" s="1"/>
  <c r="C20" i="9"/>
  <c r="D20" s="1"/>
  <c r="C20" i="8"/>
  <c r="D20" s="1"/>
  <c r="C20" i="7"/>
  <c r="D20" s="1"/>
  <c r="C20" i="6"/>
  <c r="D20" s="1"/>
  <c r="C20" i="10"/>
  <c r="D20" s="1"/>
  <c r="C20" i="12"/>
  <c r="D20" s="1"/>
  <c r="C20" i="13"/>
  <c r="D20" s="1"/>
  <c r="C20" i="15"/>
  <c r="D20" s="1"/>
  <c r="C20" i="14"/>
  <c r="D20" s="1"/>
  <c r="C21" i="3"/>
  <c r="D21" s="1"/>
  <c r="C21" i="4"/>
  <c r="D21" s="1"/>
  <c r="C21" i="5"/>
  <c r="D21" s="1"/>
  <c r="C21" i="11"/>
  <c r="D21" s="1"/>
  <c r="C21" i="9"/>
  <c r="D21" s="1"/>
  <c r="C21" i="8"/>
  <c r="D21" s="1"/>
  <c r="C21" i="7"/>
  <c r="D21" s="1"/>
  <c r="C21" i="6"/>
  <c r="D21" s="1"/>
  <c r="C21" i="10"/>
  <c r="D21" s="1"/>
  <c r="C21" i="12"/>
  <c r="D21" s="1"/>
  <c r="C21" i="13"/>
  <c r="D21" s="1"/>
  <c r="C21" i="15"/>
  <c r="D21" s="1"/>
  <c r="C21" i="14"/>
  <c r="D21" s="1"/>
  <c r="C22" i="3"/>
  <c r="D22" s="1"/>
  <c r="C22" i="4"/>
  <c r="D22" s="1"/>
  <c r="C22" i="5"/>
  <c r="D22" s="1"/>
  <c r="C22" i="11"/>
  <c r="D22" s="1"/>
  <c r="C22" i="9"/>
  <c r="D22" s="1"/>
  <c r="C22" i="8"/>
  <c r="D22" s="1"/>
  <c r="C22" i="7"/>
  <c r="D22" s="1"/>
  <c r="C22" i="6"/>
  <c r="D22" s="1"/>
  <c r="C22" i="10"/>
  <c r="D22" s="1"/>
  <c r="C22" i="12"/>
  <c r="D22" s="1"/>
  <c r="C22" i="13"/>
  <c r="D22" s="1"/>
  <c r="C22" i="15"/>
  <c r="D22" s="1"/>
  <c r="C22" i="14"/>
  <c r="D22" s="1"/>
  <c r="C23" i="3"/>
  <c r="D23" s="1"/>
  <c r="C23" i="4"/>
  <c r="D23" s="1"/>
  <c r="C23" i="5"/>
  <c r="D23" s="1"/>
  <c r="C23" i="11"/>
  <c r="D23" s="1"/>
  <c r="C23" i="9"/>
  <c r="D23" s="1"/>
  <c r="C23" i="8"/>
  <c r="D23" s="1"/>
  <c r="C23" i="7"/>
  <c r="D23" s="1"/>
  <c r="C23" i="6"/>
  <c r="D23" s="1"/>
  <c r="C23" i="10"/>
  <c r="D23" s="1"/>
  <c r="C23" i="12"/>
  <c r="D23" s="1"/>
  <c r="C23" i="13"/>
  <c r="D23" s="1"/>
  <c r="C23" i="15"/>
  <c r="D23" s="1"/>
  <c r="C23" i="14"/>
  <c r="D23" s="1"/>
  <c r="C24" i="3"/>
  <c r="D24" s="1"/>
  <c r="C24" i="4"/>
  <c r="D24" s="1"/>
  <c r="C24" i="5"/>
  <c r="D24" s="1"/>
  <c r="C24" i="11"/>
  <c r="D24" s="1"/>
  <c r="C24" i="9"/>
  <c r="D24" s="1"/>
  <c r="C24" i="8"/>
  <c r="D24" s="1"/>
  <c r="C24" i="7"/>
  <c r="D24" s="1"/>
  <c r="C24" i="6"/>
  <c r="D24" s="1"/>
  <c r="C24" i="10"/>
  <c r="D24" s="1"/>
  <c r="C24" i="12"/>
  <c r="D24" s="1"/>
  <c r="C24" i="13"/>
  <c r="D24" s="1"/>
  <c r="C24" i="15"/>
  <c r="D24" s="1"/>
  <c r="C24" i="14"/>
  <c r="D24" s="1"/>
  <c r="D16" i="1"/>
  <c r="D17"/>
  <c r="D18"/>
  <c r="D19"/>
  <c r="D20"/>
  <c r="D21"/>
  <c r="D22"/>
  <c r="D23"/>
  <c r="D24"/>
  <c r="F8" i="9"/>
  <c r="G8"/>
  <c r="F8" i="14"/>
  <c r="F8" i="15"/>
  <c r="G8" s="1"/>
  <c r="F8" i="13"/>
  <c r="G8" s="1"/>
  <c r="F8" i="12"/>
  <c r="G8" s="1"/>
  <c r="F8" i="10"/>
  <c r="G8" s="1"/>
  <c r="F8" i="6"/>
  <c r="G8" s="1"/>
  <c r="F8" i="7"/>
  <c r="G8" s="1"/>
  <c r="F8" i="8"/>
  <c r="G8" s="1"/>
  <c r="F8" i="11"/>
  <c r="G8" s="1"/>
  <c r="F8" i="5"/>
  <c r="G8" s="1"/>
  <c r="F8" i="4"/>
  <c r="G8" s="1"/>
  <c r="F8" i="3"/>
  <c r="G8" s="1"/>
  <c r="E17" i="2"/>
  <c r="E18"/>
  <c r="E19"/>
  <c r="E20"/>
  <c r="G20" s="1"/>
  <c r="E20" i="3"/>
  <c r="E20" i="4" s="1"/>
  <c r="E21" i="2"/>
  <c r="G21" s="1"/>
  <c r="E22"/>
  <c r="E23"/>
  <c r="E24"/>
  <c r="G24" s="1"/>
  <c r="E16"/>
  <c r="E7" i="15"/>
  <c r="E7" i="12"/>
  <c r="E7" i="6"/>
  <c r="E7" i="8"/>
  <c r="E7" i="11"/>
  <c r="E7" i="4"/>
  <c r="A7" i="14"/>
  <c r="A7" i="15"/>
  <c r="A7" i="13"/>
  <c r="A7" i="12"/>
  <c r="A7" i="10"/>
  <c r="A7" i="6"/>
  <c r="A7" i="7"/>
  <c r="A7" i="8"/>
  <c r="A7" i="9"/>
  <c r="A7" i="11"/>
  <c r="A7" i="5"/>
  <c r="A7" i="4"/>
  <c r="A7" i="3"/>
  <c r="A5" i="12"/>
  <c r="A5" i="14"/>
  <c r="A5" i="15"/>
  <c r="A5" i="13"/>
  <c r="A5" i="10"/>
  <c r="A5" i="6"/>
  <c r="A5" i="7"/>
  <c r="A5" i="8"/>
  <c r="A5" i="9"/>
  <c r="A5" i="11"/>
  <c r="A5" i="5"/>
  <c r="A5" i="4"/>
  <c r="A5" i="3"/>
  <c r="F48" i="1" l="1"/>
  <c r="G47"/>
  <c r="H47" s="1"/>
  <c r="E7" i="14"/>
  <c r="E7" i="16"/>
  <c r="E22" i="3"/>
  <c r="E22" i="4" s="1"/>
  <c r="G22" i="2"/>
  <c r="E23" i="3"/>
  <c r="G23" i="2"/>
  <c r="E24" i="3"/>
  <c r="E24" i="4" s="1"/>
  <c r="E21" i="3"/>
  <c r="E21" i="4" s="1"/>
  <c r="E19" i="3"/>
  <c r="G19" i="2"/>
  <c r="D18"/>
  <c r="F18" s="1"/>
  <c r="F18" i="3" s="1"/>
  <c r="D20" i="2"/>
  <c r="F20" s="1"/>
  <c r="F20" i="3" s="1"/>
  <c r="D22" i="2"/>
  <c r="F22" s="1"/>
  <c r="F22" i="3" s="1"/>
  <c r="D24" i="2"/>
  <c r="F24" s="1"/>
  <c r="F24" i="3" s="1"/>
  <c r="D17" i="2"/>
  <c r="F17" s="1"/>
  <c r="F17" i="3" s="1"/>
  <c r="D19" i="2"/>
  <c r="F19" s="1"/>
  <c r="F19" i="3" s="1"/>
  <c r="D21" i="2"/>
  <c r="F21" s="1"/>
  <c r="F21" i="3" s="1"/>
  <c r="D23" i="2"/>
  <c r="F23" s="1"/>
  <c r="D16"/>
  <c r="F16" s="1"/>
  <c r="F16" i="3" s="1"/>
  <c r="E18"/>
  <c r="E18" i="4" s="1"/>
  <c r="E18" i="5" s="1"/>
  <c r="G18" i="2"/>
  <c r="E17" i="3"/>
  <c r="E17" i="4" s="1"/>
  <c r="G17" i="2"/>
  <c r="E16" i="3"/>
  <c r="E16" i="4" s="1"/>
  <c r="G16" i="2"/>
  <c r="E23" i="4"/>
  <c r="E21" i="5"/>
  <c r="E21" i="11" s="1"/>
  <c r="E19" i="4"/>
  <c r="E24" i="5"/>
  <c r="E20"/>
  <c r="E22"/>
  <c r="F23" i="3"/>
  <c r="E7"/>
  <c r="E7" i="5"/>
  <c r="E7" i="9"/>
  <c r="E7" i="7"/>
  <c r="E7" i="10"/>
  <c r="E7" i="13"/>
  <c r="D26" i="1"/>
  <c r="D25" i="15"/>
  <c r="D25" i="12"/>
  <c r="D25" i="6"/>
  <c r="D25" i="8"/>
  <c r="D25" i="11"/>
  <c r="D25" i="14"/>
  <c r="D25" i="13"/>
  <c r="D25" i="10"/>
  <c r="D25" i="7"/>
  <c r="D25" i="9"/>
  <c r="D25" i="4"/>
  <c r="D25" i="5"/>
  <c r="D25" i="3"/>
  <c r="F49" i="1" l="1"/>
  <c r="G48"/>
  <c r="H48" s="1"/>
  <c r="G16"/>
  <c r="B34" i="10"/>
  <c r="C34" i="12" s="1"/>
  <c r="B34" i="8"/>
  <c r="B34" i="11"/>
  <c r="B34" i="15"/>
  <c r="B34" i="2"/>
  <c r="C34" i="3" s="1"/>
  <c r="D25" i="2"/>
  <c r="G18" i="3"/>
  <c r="F18" i="4"/>
  <c r="G18" s="1"/>
  <c r="G17" i="3"/>
  <c r="F17" i="4"/>
  <c r="G17" s="1"/>
  <c r="F19"/>
  <c r="G19" i="3"/>
  <c r="F22" i="4"/>
  <c r="G22" i="3"/>
  <c r="F24" i="4"/>
  <c r="G24" i="3"/>
  <c r="F20" i="4"/>
  <c r="G20" i="3"/>
  <c r="F23" i="4"/>
  <c r="G23" i="3"/>
  <c r="F21" i="4"/>
  <c r="G21" i="3"/>
  <c r="F25" i="2"/>
  <c r="G25" s="1"/>
  <c r="F18" i="5"/>
  <c r="F16" i="4"/>
  <c r="G16" i="3"/>
  <c r="D34" i="2"/>
  <c r="E19" i="5"/>
  <c r="E23"/>
  <c r="E22" i="11"/>
  <c r="E21" i="9"/>
  <c r="E20" i="11"/>
  <c r="E24"/>
  <c r="F25" i="3"/>
  <c r="B34" i="14"/>
  <c r="C34" i="16" s="1"/>
  <c r="B34" i="7"/>
  <c r="C34" i="6" s="1"/>
  <c r="B34" i="9"/>
  <c r="C34" i="8" s="1"/>
  <c r="B34" i="5"/>
  <c r="C34" i="11" s="1"/>
  <c r="B34" i="12"/>
  <c r="D34" s="1"/>
  <c r="E18" i="11"/>
  <c r="E17" i="5"/>
  <c r="E16"/>
  <c r="B34" i="13"/>
  <c r="C34" i="15" s="1"/>
  <c r="B34" i="6"/>
  <c r="C34" i="10" s="1"/>
  <c r="B34" i="4"/>
  <c r="C34" i="5" s="1"/>
  <c r="C34" i="7"/>
  <c r="C34" i="9"/>
  <c r="C34" i="14"/>
  <c r="G23" i="1" l="1"/>
  <c r="B34" i="16"/>
  <c r="F32" i="2"/>
  <c r="F50" i="1"/>
  <c r="G49"/>
  <c r="H49" s="1"/>
  <c r="B34" i="3"/>
  <c r="E32" i="16"/>
  <c r="E32" i="14"/>
  <c r="E32" i="15"/>
  <c r="E32" i="13"/>
  <c r="E32" i="12"/>
  <c r="E32" i="10"/>
  <c r="E32" i="6"/>
  <c r="E32" i="7"/>
  <c r="E32" i="8"/>
  <c r="E32" i="9"/>
  <c r="E32" i="11"/>
  <c r="E32" i="5"/>
  <c r="E32" i="4"/>
  <c r="E32" i="3"/>
  <c r="E32" i="2"/>
  <c r="B32" s="1"/>
  <c r="C32" i="3" s="1"/>
  <c r="G25"/>
  <c r="F32" s="1"/>
  <c r="D34" i="16"/>
  <c r="D34" i="15"/>
  <c r="D34" i="8"/>
  <c r="D34" i="10"/>
  <c r="D34" i="11"/>
  <c r="B31" i="2"/>
  <c r="D31" s="1"/>
  <c r="D34" i="7"/>
  <c r="D34" i="5"/>
  <c r="F17"/>
  <c r="G17" s="1"/>
  <c r="C31" i="4"/>
  <c r="F25"/>
  <c r="C31" i="3"/>
  <c r="F21" i="5"/>
  <c r="G21" i="4"/>
  <c r="F23" i="5"/>
  <c r="G23" i="4"/>
  <c r="F20" i="5"/>
  <c r="G20" i="4"/>
  <c r="F24" i="5"/>
  <c r="G24" i="4"/>
  <c r="F22" i="5"/>
  <c r="G22" i="4"/>
  <c r="F19" i="5"/>
  <c r="G19" i="4"/>
  <c r="D34" i="14"/>
  <c r="F18" i="11"/>
  <c r="G18" i="5"/>
  <c r="B31" i="3"/>
  <c r="F17" i="11"/>
  <c r="F16" i="5"/>
  <c r="G16" i="4"/>
  <c r="E23" i="11"/>
  <c r="E19"/>
  <c r="C34" i="13"/>
  <c r="D34" s="1"/>
  <c r="G8" i="2"/>
  <c r="E21" i="8"/>
  <c r="E22" i="9"/>
  <c r="E24"/>
  <c r="E20"/>
  <c r="D34"/>
  <c r="D34" i="6"/>
  <c r="E18" i="9"/>
  <c r="E17" i="11"/>
  <c r="E16"/>
  <c r="F51" i="1" l="1"/>
  <c r="G50"/>
  <c r="H50" s="1"/>
  <c r="C34" i="4"/>
  <c r="D34" s="1"/>
  <c r="D34" i="3"/>
  <c r="C33"/>
  <c r="C35" s="1"/>
  <c r="B32"/>
  <c r="G25" i="4"/>
  <c r="F32" s="1"/>
  <c r="B32" s="1"/>
  <c r="C32" i="5" s="1"/>
  <c r="B33" i="3"/>
  <c r="B31" i="4"/>
  <c r="D31" s="1"/>
  <c r="D32" i="2"/>
  <c r="C31" i="5"/>
  <c r="F19" i="11"/>
  <c r="G19" i="5"/>
  <c r="F22" i="11"/>
  <c r="G22" i="5"/>
  <c r="F24" i="11"/>
  <c r="G24" i="5"/>
  <c r="F20" i="11"/>
  <c r="G20" i="5"/>
  <c r="F23" i="11"/>
  <c r="G23" i="5"/>
  <c r="F21" i="11"/>
  <c r="G21" i="5"/>
  <c r="D31" i="3"/>
  <c r="F18" i="9"/>
  <c r="G18" i="11"/>
  <c r="F17" i="9"/>
  <c r="G17" i="11"/>
  <c r="G16" i="5"/>
  <c r="F25"/>
  <c r="F16" i="11"/>
  <c r="E19" i="9"/>
  <c r="E23"/>
  <c r="E21" i="7"/>
  <c r="E20" i="8"/>
  <c r="E24"/>
  <c r="E22"/>
  <c r="E18"/>
  <c r="E17" i="9"/>
  <c r="E16"/>
  <c r="D33" i="3"/>
  <c r="B35"/>
  <c r="D35" l="1"/>
  <c r="F52" i="1"/>
  <c r="G51"/>
  <c r="H51" s="1"/>
  <c r="D32" i="3"/>
  <c r="C32" i="4"/>
  <c r="C33" s="1"/>
  <c r="C35" s="1"/>
  <c r="B33" i="2"/>
  <c r="B35" s="1"/>
  <c r="B33" i="4"/>
  <c r="D33" s="1"/>
  <c r="D35" s="1"/>
  <c r="D36" s="1"/>
  <c r="D37" s="1"/>
  <c r="C33" i="5"/>
  <c r="C35" s="1"/>
  <c r="F21" i="9"/>
  <c r="G21" i="11"/>
  <c r="F23" i="9"/>
  <c r="G23" i="11"/>
  <c r="F20" i="9"/>
  <c r="G20" i="11"/>
  <c r="F24" i="9"/>
  <c r="G24" i="11"/>
  <c r="F22" i="9"/>
  <c r="G22" i="11"/>
  <c r="F19" i="9"/>
  <c r="G19" i="11"/>
  <c r="F18" i="8"/>
  <c r="G18" i="9"/>
  <c r="F17" i="8"/>
  <c r="G17" i="9"/>
  <c r="G16" i="11"/>
  <c r="F25"/>
  <c r="F16" i="9"/>
  <c r="G25" i="5"/>
  <c r="F32" s="1"/>
  <c r="B32" s="1"/>
  <c r="C31" i="11"/>
  <c r="B31" i="5"/>
  <c r="E23" i="8"/>
  <c r="E19"/>
  <c r="E22" i="7"/>
  <c r="E24"/>
  <c r="E20"/>
  <c r="E21" i="6"/>
  <c r="E18" i="7"/>
  <c r="E17" i="8"/>
  <c r="E16"/>
  <c r="D36" i="3" l="1"/>
  <c r="D37"/>
  <c r="F53" i="1"/>
  <c r="G52"/>
  <c r="H52" s="1"/>
  <c r="D32" i="4"/>
  <c r="D35" i="2"/>
  <c r="D33"/>
  <c r="B35" i="4"/>
  <c r="F19" i="8"/>
  <c r="G19" i="9"/>
  <c r="F22" i="8"/>
  <c r="G22" i="9"/>
  <c r="F24" i="8"/>
  <c r="G24" i="9"/>
  <c r="F20" i="8"/>
  <c r="G20" i="9"/>
  <c r="F23" i="8"/>
  <c r="G23" i="9"/>
  <c r="F21" i="8"/>
  <c r="G21" i="9"/>
  <c r="F18" i="7"/>
  <c r="G18" i="8"/>
  <c r="F17" i="7"/>
  <c r="G17" i="8"/>
  <c r="G16" i="9"/>
  <c r="F16" i="8"/>
  <c r="F25" i="9"/>
  <c r="B33" i="5"/>
  <c r="D31"/>
  <c r="C32" i="11"/>
  <c r="C33" s="1"/>
  <c r="C35" s="1"/>
  <c r="D32" i="5"/>
  <c r="G25" i="11"/>
  <c r="F32" s="1"/>
  <c r="B32" s="1"/>
  <c r="B31"/>
  <c r="C31" i="9"/>
  <c r="E19" i="7"/>
  <c r="E23"/>
  <c r="E21" i="10"/>
  <c r="E20" i="6"/>
  <c r="E24"/>
  <c r="E22"/>
  <c r="D36" i="2"/>
  <c r="B36" s="1"/>
  <c r="B37" s="1"/>
  <c r="E18" i="6"/>
  <c r="E17" i="7"/>
  <c r="E16"/>
  <c r="F54" i="1" l="1"/>
  <c r="G53"/>
  <c r="H53" s="1"/>
  <c r="D37" i="2"/>
  <c r="F21" i="7"/>
  <c r="G21" i="8"/>
  <c r="F23" i="7"/>
  <c r="G23" i="8"/>
  <c r="F20" i="7"/>
  <c r="G20" i="8"/>
  <c r="F24" i="7"/>
  <c r="G24" i="8"/>
  <c r="F22" i="7"/>
  <c r="G22" i="8"/>
  <c r="F19" i="7"/>
  <c r="G19" i="8"/>
  <c r="F18" i="6"/>
  <c r="G18" i="7"/>
  <c r="F17" i="6"/>
  <c r="G17" i="7"/>
  <c r="D31" i="11"/>
  <c r="B33"/>
  <c r="G25" i="9"/>
  <c r="F32" s="1"/>
  <c r="B32" s="1"/>
  <c r="C31" i="8"/>
  <c r="B31" i="9"/>
  <c r="C32"/>
  <c r="C33" s="1"/>
  <c r="C35" s="1"/>
  <c r="D32" i="11"/>
  <c r="D33" i="5"/>
  <c r="D35" s="1"/>
  <c r="D36" s="1"/>
  <c r="D37" s="1"/>
  <c r="B35"/>
  <c r="G16" i="8"/>
  <c r="F25"/>
  <c r="F16" i="7"/>
  <c r="E23" i="6"/>
  <c r="E19"/>
  <c r="E22" i="10"/>
  <c r="E24"/>
  <c r="E20"/>
  <c r="E21" i="12"/>
  <c r="C36" i="3"/>
  <c r="C37" s="1"/>
  <c r="E18" i="10"/>
  <c r="E17" i="6"/>
  <c r="E16"/>
  <c r="F55" i="1" l="1"/>
  <c r="G54"/>
  <c r="H54" s="1"/>
  <c r="F19" i="6"/>
  <c r="G19" i="7"/>
  <c r="F22" i="6"/>
  <c r="G22" i="7"/>
  <c r="F24" i="6"/>
  <c r="G24" i="7"/>
  <c r="F20" i="6"/>
  <c r="G20" i="7"/>
  <c r="F23" i="6"/>
  <c r="G23" i="7"/>
  <c r="F21" i="6"/>
  <c r="G21" i="7"/>
  <c r="F18" i="10"/>
  <c r="G18" i="6"/>
  <c r="F17" i="10"/>
  <c r="G17" i="6"/>
  <c r="G25" i="8"/>
  <c r="F32" s="1"/>
  <c r="B32" s="1"/>
  <c r="C31" i="7"/>
  <c r="B31" i="8"/>
  <c r="D31" i="9"/>
  <c r="B33"/>
  <c r="D32"/>
  <c r="C32" i="8"/>
  <c r="C33" s="1"/>
  <c r="C35" s="1"/>
  <c r="G16" i="7"/>
  <c r="F16" i="6"/>
  <c r="F25" i="7"/>
  <c r="B35" i="11"/>
  <c r="D33"/>
  <c r="D35" s="1"/>
  <c r="D36" s="1"/>
  <c r="D37" s="1"/>
  <c r="E19" i="10"/>
  <c r="E23"/>
  <c r="E21" i="13"/>
  <c r="E20" i="12"/>
  <c r="E24"/>
  <c r="E22"/>
  <c r="B36" i="3"/>
  <c r="B37" s="1"/>
  <c r="E18" i="12"/>
  <c r="E17" i="10"/>
  <c r="E16"/>
  <c r="F56" i="1" l="1"/>
  <c r="G55"/>
  <c r="H55" s="1"/>
  <c r="F21" i="10"/>
  <c r="G21" i="6"/>
  <c r="F23" i="10"/>
  <c r="G23" i="6"/>
  <c r="F20" i="10"/>
  <c r="G20" i="6"/>
  <c r="F24" i="10"/>
  <c r="G24" i="6"/>
  <c r="F22" i="10"/>
  <c r="G22" i="6"/>
  <c r="F19" i="10"/>
  <c r="G19" i="6"/>
  <c r="F18" i="12"/>
  <c r="G18" i="10"/>
  <c r="F17" i="12"/>
  <c r="G17" i="10"/>
  <c r="G16" i="6"/>
  <c r="F25"/>
  <c r="F16" i="10"/>
  <c r="B35" i="9"/>
  <c r="D33"/>
  <c r="D35" s="1"/>
  <c r="D36" s="1"/>
  <c r="D37" s="1"/>
  <c r="B33" i="8"/>
  <c r="D31"/>
  <c r="C32" i="7"/>
  <c r="C33" s="1"/>
  <c r="C35" s="1"/>
  <c r="D32" i="8"/>
  <c r="G25" i="7"/>
  <c r="C31" i="6"/>
  <c r="B31" i="7"/>
  <c r="E19" i="12"/>
  <c r="E23"/>
  <c r="E22" i="13"/>
  <c r="E24"/>
  <c r="E20"/>
  <c r="E21" i="15"/>
  <c r="C36" i="4"/>
  <c r="E18" i="13"/>
  <c r="E17" i="12"/>
  <c r="E16"/>
  <c r="F57" i="1" l="1"/>
  <c r="G56"/>
  <c r="H56" s="1"/>
  <c r="F32" i="7"/>
  <c r="B32" s="1"/>
  <c r="F36"/>
  <c r="F35"/>
  <c r="F19" i="12"/>
  <c r="G19" i="10"/>
  <c r="F22" i="12"/>
  <c r="G22" i="10"/>
  <c r="F24" i="12"/>
  <c r="G24" i="10"/>
  <c r="F20" i="12"/>
  <c r="G20" i="10"/>
  <c r="F23" i="12"/>
  <c r="G23" i="10"/>
  <c r="F21" i="12"/>
  <c r="G21" i="10"/>
  <c r="F18" i="13"/>
  <c r="G18" i="12"/>
  <c r="F17" i="13"/>
  <c r="F17" i="15" s="1"/>
  <c r="G17" i="12"/>
  <c r="D31" i="7"/>
  <c r="G16" i="10"/>
  <c r="F25"/>
  <c r="F16" i="12"/>
  <c r="D33" i="8"/>
  <c r="D35" s="1"/>
  <c r="D36" s="1"/>
  <c r="D37" s="1"/>
  <c r="B35"/>
  <c r="G25" i="6"/>
  <c r="F32" s="1"/>
  <c r="B32" s="1"/>
  <c r="B31"/>
  <c r="C31" i="10"/>
  <c r="E23" i="13"/>
  <c r="E19"/>
  <c r="E21" i="14"/>
  <c r="E21" i="16" s="1"/>
  <c r="E20" i="15"/>
  <c r="E24"/>
  <c r="E22"/>
  <c r="B36" i="4"/>
  <c r="C37"/>
  <c r="E18" i="15"/>
  <c r="E17" i="13"/>
  <c r="E16"/>
  <c r="F58" i="1" l="1"/>
  <c r="G57"/>
  <c r="H57" s="1"/>
  <c r="F18" i="15"/>
  <c r="G18" i="13"/>
  <c r="B33" i="7"/>
  <c r="C32" i="6"/>
  <c r="C33" s="1"/>
  <c r="C35" s="1"/>
  <c r="D32" i="7"/>
  <c r="F21" i="13"/>
  <c r="G21" i="12"/>
  <c r="F23" i="13"/>
  <c r="G23" i="12"/>
  <c r="F20" i="13"/>
  <c r="G20" i="12"/>
  <c r="F24" i="13"/>
  <c r="G24" i="12"/>
  <c r="F22" i="13"/>
  <c r="G22" i="12"/>
  <c r="F19" i="13"/>
  <c r="G19" i="12"/>
  <c r="F18" i="14"/>
  <c r="F18" i="16" s="1"/>
  <c r="G18" s="1"/>
  <c r="G18" i="15"/>
  <c r="F17" i="14"/>
  <c r="F17" i="16" s="1"/>
  <c r="B33" i="6"/>
  <c r="D31"/>
  <c r="G16" i="12"/>
  <c r="F16" i="13"/>
  <c r="F25" i="12"/>
  <c r="D33" i="7"/>
  <c r="D35" s="1"/>
  <c r="D36" s="1"/>
  <c r="D37" s="1"/>
  <c r="B35"/>
  <c r="D32" i="6"/>
  <c r="C32" i="10"/>
  <c r="C33" s="1"/>
  <c r="C35" s="1"/>
  <c r="G25"/>
  <c r="F32" s="1"/>
  <c r="B32" s="1"/>
  <c r="B31"/>
  <c r="C31" i="12"/>
  <c r="E19" i="15"/>
  <c r="E23"/>
  <c r="E22" i="14"/>
  <c r="E22" i="16" s="1"/>
  <c r="E24" i="14"/>
  <c r="E24" i="16" s="1"/>
  <c r="E20" i="14"/>
  <c r="E20" i="16" s="1"/>
  <c r="C36" i="5"/>
  <c r="B37" i="4"/>
  <c r="E18" i="14"/>
  <c r="E18" i="16" s="1"/>
  <c r="G17" i="13"/>
  <c r="E17" i="15"/>
  <c r="G17" s="1"/>
  <c r="E16"/>
  <c r="F59" i="1" l="1"/>
  <c r="G58"/>
  <c r="H58" s="1"/>
  <c r="F19" i="15"/>
  <c r="G19" i="13"/>
  <c r="F22" i="15"/>
  <c r="G22" i="13"/>
  <c r="F24" i="15"/>
  <c r="G24" i="13"/>
  <c r="F20" i="15"/>
  <c r="G20" i="13"/>
  <c r="F23" i="15"/>
  <c r="G23" i="13"/>
  <c r="F21" i="15"/>
  <c r="G21" i="13"/>
  <c r="F19" i="14"/>
  <c r="F19" i="16" s="1"/>
  <c r="G19" s="1"/>
  <c r="G19" i="15"/>
  <c r="F22" i="14"/>
  <c r="G22" i="15"/>
  <c r="F24" i="14"/>
  <c r="G24" i="15"/>
  <c r="F20" i="14"/>
  <c r="G20" i="15"/>
  <c r="F23" i="14"/>
  <c r="F23" i="16" s="1"/>
  <c r="G23" s="1"/>
  <c r="G23" i="15"/>
  <c r="F21" i="14"/>
  <c r="G21" i="15"/>
  <c r="G18" i="14"/>
  <c r="D31" i="10"/>
  <c r="B33"/>
  <c r="G25" i="12"/>
  <c r="F32" s="1"/>
  <c r="B32" s="1"/>
  <c r="B31"/>
  <c r="C31" i="13"/>
  <c r="B35" i="6"/>
  <c r="D33"/>
  <c r="D35" s="1"/>
  <c r="D36" s="1"/>
  <c r="D37" s="1"/>
  <c r="D32" i="10"/>
  <c r="C32" i="12"/>
  <c r="C33" s="1"/>
  <c r="C35" s="1"/>
  <c r="G16" i="13"/>
  <c r="F16" i="15"/>
  <c r="F25" i="13"/>
  <c r="E23" i="14"/>
  <c r="E23" i="16" s="1"/>
  <c r="E19" i="14"/>
  <c r="E19" i="16" s="1"/>
  <c r="C37" i="5"/>
  <c r="B36"/>
  <c r="E17" i="14"/>
  <c r="E16"/>
  <c r="E16" i="16" s="1"/>
  <c r="F60" i="1" l="1"/>
  <c r="G59"/>
  <c r="H59" s="1"/>
  <c r="G17" i="14"/>
  <c r="E17" i="16"/>
  <c r="G17" s="1"/>
  <c r="G21" i="14"/>
  <c r="F21" i="16"/>
  <c r="G21" s="1"/>
  <c r="G20" i="14"/>
  <c r="F20" i="16"/>
  <c r="G20" s="1"/>
  <c r="G24" i="14"/>
  <c r="F24" i="16"/>
  <c r="G24" s="1"/>
  <c r="G22" i="14"/>
  <c r="F22" i="16"/>
  <c r="G22" s="1"/>
  <c r="G23" i="14"/>
  <c r="G19"/>
  <c r="G16" i="15"/>
  <c r="F25"/>
  <c r="F16" i="14"/>
  <c r="F16" i="16" s="1"/>
  <c r="C32" i="13"/>
  <c r="C33" s="1"/>
  <c r="C35" s="1"/>
  <c r="D32" i="12"/>
  <c r="G25" i="13"/>
  <c r="F32" s="1"/>
  <c r="B32" s="1"/>
  <c r="B31"/>
  <c r="C31" i="15"/>
  <c r="D31" i="12"/>
  <c r="B33"/>
  <c r="D33" i="10"/>
  <c r="D35" s="1"/>
  <c r="D36" s="1"/>
  <c r="D37" s="1"/>
  <c r="B35"/>
  <c r="B37" i="5"/>
  <c r="C36" i="11"/>
  <c r="F61" i="1" l="1"/>
  <c r="G60"/>
  <c r="H60" s="1"/>
  <c r="F25" i="16"/>
  <c r="G16"/>
  <c r="B33" i="13"/>
  <c r="D31"/>
  <c r="F25" i="14"/>
  <c r="C31" i="16" s="1"/>
  <c r="G16" i="14"/>
  <c r="B35" i="12"/>
  <c r="D33"/>
  <c r="D35" s="1"/>
  <c r="D36" s="1"/>
  <c r="D37" s="1"/>
  <c r="D32" i="13"/>
  <c r="C32" i="15"/>
  <c r="C33" s="1"/>
  <c r="C35" s="1"/>
  <c r="G25"/>
  <c r="F32" s="1"/>
  <c r="C31" i="14"/>
  <c r="B31" i="15"/>
  <c r="B36" i="11"/>
  <c r="C37"/>
  <c r="F62" i="1" l="1"/>
  <c r="G61"/>
  <c r="H61" s="1"/>
  <c r="B32" i="15"/>
  <c r="B31" i="16"/>
  <c r="G25"/>
  <c r="F32" s="1"/>
  <c r="B32" s="1"/>
  <c r="G25" i="14"/>
  <c r="F32" s="1"/>
  <c r="B32" s="1"/>
  <c r="B31"/>
  <c r="D33" i="13"/>
  <c r="D35" s="1"/>
  <c r="D36" s="1"/>
  <c r="D37" s="1"/>
  <c r="B35"/>
  <c r="D31" i="15"/>
  <c r="C36" i="9"/>
  <c r="B37" i="11"/>
  <c r="F63" i="1" l="1"/>
  <c r="G62"/>
  <c r="H62" s="1"/>
  <c r="C32" i="14"/>
  <c r="C33" s="1"/>
  <c r="C35" s="1"/>
  <c r="D32" i="15"/>
  <c r="B33"/>
  <c r="D33" s="1"/>
  <c r="D35" s="1"/>
  <c r="D36" s="1"/>
  <c r="D37" s="1"/>
  <c r="G8" i="14"/>
  <c r="B33" i="16"/>
  <c r="D31"/>
  <c r="B35" i="15"/>
  <c r="D31" i="14"/>
  <c r="B36" i="9"/>
  <c r="C37"/>
  <c r="F64" i="1" l="1"/>
  <c r="G63"/>
  <c r="H63" s="1"/>
  <c r="D32" i="14"/>
  <c r="C32" i="16"/>
  <c r="B35"/>
  <c r="B33" i="14"/>
  <c r="B35" s="1"/>
  <c r="B37" i="9"/>
  <c r="C36" i="8"/>
  <c r="F65" i="1" l="1"/>
  <c r="G64"/>
  <c r="H64" s="1"/>
  <c r="C33" i="16"/>
  <c r="D32"/>
  <c r="D33" i="14"/>
  <c r="D35" s="1"/>
  <c r="D36" s="1"/>
  <c r="D37" s="1"/>
  <c r="C37" i="8"/>
  <c r="B36"/>
  <c r="F66" i="1" l="1"/>
  <c r="G66" s="1"/>
  <c r="H66" s="1"/>
  <c r="G65"/>
  <c r="H65" s="1"/>
  <c r="C35" i="16"/>
  <c r="D33"/>
  <c r="D35" s="1"/>
  <c r="B37" i="8"/>
  <c r="C36" i="7"/>
  <c r="D36" i="16" l="1"/>
  <c r="D37" s="1"/>
  <c r="C37" i="7"/>
  <c r="B36"/>
  <c r="C36" i="6" l="1"/>
  <c r="B37" i="7"/>
  <c r="C37" i="6" l="1"/>
  <c r="B36"/>
  <c r="C36" i="10" l="1"/>
  <c r="B37" i="6"/>
  <c r="C37" i="10" l="1"/>
  <c r="B36"/>
  <c r="B37" l="1"/>
  <c r="C36" i="12"/>
  <c r="C37" l="1"/>
  <c r="B36"/>
  <c r="B37" l="1"/>
  <c r="C36" i="13"/>
  <c r="B36" l="1"/>
  <c r="C37"/>
  <c r="B37" l="1"/>
  <c r="C36" i="15"/>
  <c r="B36" l="1"/>
  <c r="C37"/>
  <c r="C36" i="14" l="1"/>
  <c r="B37" i="15"/>
  <c r="B36" i="14" l="1"/>
  <c r="C37"/>
  <c r="B37" l="1"/>
  <c r="C36" i="16"/>
  <c r="C37" l="1"/>
  <c r="B36"/>
  <c r="B37" s="1"/>
</calcChain>
</file>

<file path=xl/comments1.xml><?xml version="1.0" encoding="utf-8"?>
<comments xmlns="http://schemas.openxmlformats.org/spreadsheetml/2006/main">
  <authors>
    <author>Einar Gíslason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Fast gjal % sem notað er síðan til að reikna út greiðslu á föstu gjaldi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verkþætti sem greitt er fyrir.  Þeir færast síðan sjálfkrafa yfir á reikningana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einingaverð tilboðs 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samkvæmt tilboðsskrá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fjölda greiðslna sem  reiknar síðan greiðslu á föstu gjaldi pr reikning. 
Ath. þessi tala þarf að vera rétt því reiknimódelið reiknar síðan fasta greiðslu á pr. reikning eftir þessu.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skál grunnvísitölu vörubíla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vægi vörubíla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vísitölu í útbosmánuði.  Það þarf að gæta þesa að fylla út töfluna pr. Mánuð þ.e. Eina línu fyrir hvern mánuð annars reiknast vísitölurnar ekki rétt.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Verðbætur í % sem þarf síðan að flytja handvirkt yfir í reitinn "verðbætur % í hverjum reikning</t>
        </r>
      </text>
    </comment>
  </commentList>
</comments>
</file>

<file path=xl/comments10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1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2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3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4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5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16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2.xml><?xml version="1.0" encoding="utf-8"?>
<comments xmlns="http://schemas.openxmlformats.org/spreadsheetml/2006/main">
  <authors>
    <author>Einar Gíslason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srká heiti verks sem flyst síðan sjálfkrafa á alla reikninga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3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4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5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6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7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8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comments9.xml><?xml version="1.0" encoding="utf-8"?>
<comments xmlns="http://schemas.openxmlformats.org/spreadsheetml/2006/main">
  <authors>
    <author>Einar Gíslason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Hér skal skrá magn tímabilsins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Einar Gíslason:</t>
        </r>
        <r>
          <rPr>
            <sz val="8"/>
            <color indexed="81"/>
            <rFont val="Tahoma"/>
            <family val="2"/>
          </rPr>
          <t xml:space="preserve">
Slegið inn í % og flutt úr grunntöflu þ.e. Verðbætur í prósentum í þeim mánuði sem reikningur er gerður</t>
        </r>
      </text>
    </comment>
  </commentList>
</comments>
</file>

<file path=xl/sharedStrings.xml><?xml version="1.0" encoding="utf-8"?>
<sst xmlns="http://schemas.openxmlformats.org/spreadsheetml/2006/main" count="4499" uniqueCount="90">
  <si>
    <t>Uppgjör samkvæmt ábatasamningi</t>
  </si>
  <si>
    <t>Vegagerðin   Vetrarþjónusta</t>
  </si>
  <si>
    <t>Tímabil:</t>
  </si>
  <si>
    <t>Aðfang</t>
  </si>
  <si>
    <t>Einingarv.</t>
  </si>
  <si>
    <t>Magn</t>
  </si>
  <si>
    <t>Tafla með einingarverðum tilboðs og magni</t>
  </si>
  <si>
    <t>Upphæð</t>
  </si>
  <si>
    <t>Heildarupphæð</t>
  </si>
  <si>
    <t>Til greiðslu</t>
  </si>
  <si>
    <t>dags./ferilv.</t>
  </si>
  <si>
    <t>kr.</t>
  </si>
  <si>
    <t>uppsafnað</t>
  </si>
  <si>
    <t>% af heild</t>
  </si>
  <si>
    <t>Fast gjald</t>
  </si>
  <si>
    <t>Fast gjald %</t>
  </si>
  <si>
    <t xml:space="preserve"> </t>
  </si>
  <si>
    <t>Fast gjald kr.</t>
  </si>
  <si>
    <t>Fast gjald fjöldi gjalddaga</t>
  </si>
  <si>
    <t>Samtals</t>
  </si>
  <si>
    <t>breyt. kostn.</t>
  </si>
  <si>
    <t>Verðbætur</t>
  </si>
  <si>
    <t>Verðbætur %</t>
  </si>
  <si>
    <t>Br. kostn</t>
  </si>
  <si>
    <t>Mismunur</t>
  </si>
  <si>
    <t>Magnt.</t>
  </si>
  <si>
    <t>Skv. Þ. reikn.</t>
  </si>
  <si>
    <t>Skv.síð.r.</t>
  </si>
  <si>
    <t>Samtals til greiðslu</t>
  </si>
  <si>
    <t>Mánuður/ár</t>
  </si>
  <si>
    <t>Reikningur nr. 1</t>
  </si>
  <si>
    <t>Dagsetn. verkstöðu:</t>
  </si>
  <si>
    <t>Reikningur nr. 14</t>
  </si>
  <si>
    <t>Reikningur nr. 2</t>
  </si>
  <si>
    <t>Reikningur nr. 3</t>
  </si>
  <si>
    <t>Reikningur nr. 4</t>
  </si>
  <si>
    <t>Reikningur nr. 5</t>
  </si>
  <si>
    <t>Reikningur nr. 6</t>
  </si>
  <si>
    <t>Reikningur nr. 7</t>
  </si>
  <si>
    <t>Reikningur nr. 8</t>
  </si>
  <si>
    <t>Reikningur nr. 9</t>
  </si>
  <si>
    <t>Reikningur nr. 10</t>
  </si>
  <si>
    <t>Reikningur nr. 11</t>
  </si>
  <si>
    <t>Reikningur nr. 12</t>
  </si>
  <si>
    <t>Reikningur nr. 13</t>
  </si>
  <si>
    <t xml:space="preserve">kt: </t>
  </si>
  <si>
    <t>Viðfangsefni</t>
  </si>
  <si>
    <t>Tegund</t>
  </si>
  <si>
    <t>Bt</t>
  </si>
  <si>
    <t>Skb.m.</t>
  </si>
  <si>
    <t>CR</t>
  </si>
  <si>
    <t>Kennitala</t>
  </si>
  <si>
    <t>Texti</t>
  </si>
  <si>
    <t>Magntala</t>
  </si>
  <si>
    <t>Samþykkt</t>
  </si>
  <si>
    <t>Tilvísun</t>
  </si>
  <si>
    <t>Verkþáttur</t>
  </si>
  <si>
    <t>Snjómoksturstímabil:</t>
  </si>
  <si>
    <t>Km ,klst</t>
  </si>
  <si>
    <t xml:space="preserve">Km, klst </t>
  </si>
  <si>
    <t>Km, klst</t>
  </si>
  <si>
    <t>Magtala</t>
  </si>
  <si>
    <t>Mantala</t>
  </si>
  <si>
    <t>92.1 Færðargreining</t>
  </si>
  <si>
    <t>92.21 Snjómokstur og hálkuv.</t>
  </si>
  <si>
    <t>92.22 Upprif með undirtönn</t>
  </si>
  <si>
    <t>92.23 Lausakeyrsla vörub.</t>
  </si>
  <si>
    <t>92.3 Snjómokstur með vinnuv.</t>
  </si>
  <si>
    <t xml:space="preserve">92.8 Biðtími </t>
  </si>
  <si>
    <t xml:space="preserve">Tímabil: </t>
  </si>
  <si>
    <t xml:space="preserve">Dagsetn. verkstöðu: </t>
  </si>
  <si>
    <t>Reikningur nr. 15</t>
  </si>
  <si>
    <t>Breytil. kost.</t>
  </si>
  <si>
    <t>Ábati gólf</t>
  </si>
  <si>
    <t>Reikningur nr</t>
  </si>
  <si>
    <t>Heildarábati</t>
  </si>
  <si>
    <t>Reikningur nr.</t>
  </si>
  <si>
    <t>Br. kostn. + ábati</t>
  </si>
  <si>
    <t>Ábati</t>
  </si>
  <si>
    <t xml:space="preserve">Heiti verks: </t>
  </si>
  <si>
    <t xml:space="preserve">Verktaki:  </t>
  </si>
  <si>
    <t>Vörubílar</t>
  </si>
  <si>
    <t>Vinnuvélar</t>
  </si>
  <si>
    <t>Laun</t>
  </si>
  <si>
    <t>Vísitöluviðmið pr mán.</t>
  </si>
  <si>
    <t>Grunnvísitala</t>
  </si>
  <si>
    <t>Vægi</t>
  </si>
  <si>
    <t>Vísitöluhækkun %</t>
  </si>
  <si>
    <t>Reikn.</t>
  </si>
  <si>
    <t>Vísitöluviðmið</t>
  </si>
</sst>
</file>

<file path=xl/styles.xml><?xml version="1.0" encoding="utf-8"?>
<styleSheet xmlns="http://schemas.openxmlformats.org/spreadsheetml/2006/main">
  <numFmts count="10">
    <numFmt numFmtId="43" formatCode="_-* #,##0.00\ _k_r_._-;\-* #,##0.00\ _k_r_._-;_-* &quot;-&quot;??\ _k_r_._-;_-@_-"/>
    <numFmt numFmtId="164" formatCode="#,##0\ &quot;kr.&quot;"/>
    <numFmt numFmtId="165" formatCode="#,##0.0"/>
    <numFmt numFmtId="166" formatCode="0.000"/>
    <numFmt numFmtId="167" formatCode="0.00000"/>
    <numFmt numFmtId="168" formatCode="0.0"/>
    <numFmt numFmtId="169" formatCode="#,##0&quot; kr&quot;;[Red]\-#,##0&quot; kr&quot;"/>
    <numFmt numFmtId="170" formatCode="#,##0.00&quot; kr&quot;;[Red]\-#,##0.00&quot; kr&quot;"/>
    <numFmt numFmtId="171" formatCode="_-* #,##0\ _k_r_._-;\-* #,##0\ _k_r_._-;_-* &quot;-&quot;??\ _k_r_._-;_-@_-"/>
    <numFmt numFmtId="172" formatCode="#,##0_ ;\-#,##0\ "/>
  </numFmts>
  <fonts count="23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70" fontId="16" fillId="0" borderId="0" applyFont="0" applyFill="0" applyBorder="0" applyAlignment="0" applyProtection="0"/>
    <xf numFmtId="0" fontId="16" fillId="0" borderId="0"/>
    <xf numFmtId="43" fontId="22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164" fontId="0" fillId="0" borderId="0" xfId="0" quotePrefix="1" applyNumberFormat="1"/>
    <xf numFmtId="10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0" fillId="0" borderId="3" xfId="0" applyNumberFormat="1" applyBorder="1"/>
    <xf numFmtId="3" fontId="4" fillId="0" borderId="3" xfId="0" applyNumberFormat="1" applyFont="1" applyBorder="1" applyAlignment="1">
      <alignment horizontal="center"/>
    </xf>
    <xf numFmtId="10" fontId="4" fillId="0" borderId="3" xfId="0" applyNumberFormat="1" applyFont="1" applyBorder="1"/>
    <xf numFmtId="10" fontId="0" fillId="0" borderId="3" xfId="0" applyNumberForma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9" fontId="6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/>
    <xf numFmtId="10" fontId="4" fillId="0" borderId="3" xfId="0" applyNumberFormat="1" applyFont="1" applyBorder="1" applyAlignment="1">
      <alignment horizontal="right"/>
    </xf>
    <xf numFmtId="164" fontId="0" fillId="0" borderId="0" xfId="0" quotePrefix="1" applyNumberFormat="1" applyAlignment="1">
      <alignment horizontal="right"/>
    </xf>
    <xf numFmtId="0" fontId="4" fillId="0" borderId="7" xfId="0" applyFont="1" applyBorder="1" applyAlignment="1">
      <alignment horizontal="left"/>
    </xf>
    <xf numFmtId="10" fontId="4" fillId="0" borderId="8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2" fillId="0" borderId="0" xfId="2" applyFont="1"/>
    <xf numFmtId="1" fontId="12" fillId="0" borderId="0" xfId="2" applyNumberFormat="1" applyFont="1"/>
    <xf numFmtId="0" fontId="6" fillId="0" borderId="0" xfId="0" applyFont="1" applyBorder="1" applyAlignment="1">
      <alignment horizontal="center"/>
    </xf>
    <xf numFmtId="10" fontId="4" fillId="0" borderId="0" xfId="0" applyNumberFormat="1" applyFont="1" applyBorder="1"/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10" fontId="0" fillId="0" borderId="0" xfId="0" applyNumberFormat="1" applyBorder="1"/>
    <xf numFmtId="10" fontId="4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9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Fill="1" applyBorder="1" applyProtection="1">
      <protection locked="0"/>
    </xf>
    <xf numFmtId="168" fontId="10" fillId="0" borderId="4" xfId="0" applyNumberFormat="1" applyFont="1" applyBorder="1" applyAlignment="1" applyProtection="1">
      <alignment horizontal="right"/>
      <protection locked="0"/>
    </xf>
    <xf numFmtId="165" fontId="10" fillId="0" borderId="4" xfId="0" applyNumberFormat="1" applyFont="1" applyBorder="1" applyAlignment="1" applyProtection="1">
      <alignment horizontal="right"/>
      <protection locked="0"/>
    </xf>
    <xf numFmtId="168" fontId="10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2" fillId="3" borderId="9" xfId="2" applyFont="1" applyFill="1" applyBorder="1" applyProtection="1">
      <protection locked="0"/>
    </xf>
    <xf numFmtId="0" fontId="12" fillId="3" borderId="10" xfId="2" applyFont="1" applyFill="1" applyBorder="1" applyProtection="1">
      <protection locked="0"/>
    </xf>
    <xf numFmtId="0" fontId="12" fillId="3" borderId="16" xfId="2" applyFont="1" applyFill="1" applyBorder="1" applyProtection="1">
      <protection locked="0"/>
    </xf>
    <xf numFmtId="0" fontId="12" fillId="3" borderId="11" xfId="2" applyFont="1" applyFill="1" applyBorder="1" applyProtection="1">
      <protection locked="0"/>
    </xf>
    <xf numFmtId="1" fontId="12" fillId="3" borderId="10" xfId="2" applyNumberFormat="1" applyFont="1" applyFill="1" applyBorder="1" applyProtection="1">
      <protection locked="0"/>
    </xf>
    <xf numFmtId="0" fontId="12" fillId="0" borderId="16" xfId="2" applyFont="1" applyBorder="1" applyProtection="1">
      <protection locked="0"/>
    </xf>
    <xf numFmtId="0" fontId="12" fillId="0" borderId="11" xfId="2" applyFont="1" applyBorder="1" applyProtection="1">
      <protection locked="0"/>
    </xf>
    <xf numFmtId="0" fontId="15" fillId="0" borderId="12" xfId="2" applyFont="1" applyBorder="1" applyProtection="1">
      <protection locked="0"/>
    </xf>
    <xf numFmtId="0" fontId="15" fillId="0" borderId="13" xfId="2" applyFont="1" applyBorder="1" applyProtection="1">
      <protection locked="0"/>
    </xf>
    <xf numFmtId="0" fontId="15" fillId="0" borderId="1" xfId="2" applyFont="1" applyBorder="1" applyProtection="1">
      <protection locked="0"/>
    </xf>
    <xf numFmtId="0" fontId="15" fillId="0" borderId="14" xfId="2" applyFont="1" applyBorder="1" applyProtection="1">
      <protection locked="0"/>
    </xf>
    <xf numFmtId="0" fontId="12" fillId="3" borderId="11" xfId="2" applyFont="1" applyFill="1" applyBorder="1" applyAlignment="1" applyProtection="1">
      <alignment horizontal="right"/>
      <protection locked="0"/>
    </xf>
    <xf numFmtId="1" fontId="13" fillId="0" borderId="12" xfId="2" applyNumberFormat="1" applyFont="1" applyBorder="1" applyProtection="1">
      <protection locked="0"/>
    </xf>
    <xf numFmtId="0" fontId="13" fillId="0" borderId="12" xfId="2" applyFont="1" applyBorder="1" applyProtection="1">
      <protection locked="0"/>
    </xf>
    <xf numFmtId="0" fontId="13" fillId="0" borderId="14" xfId="2" applyFont="1" applyBorder="1" applyProtection="1">
      <protection locked="0"/>
    </xf>
    <xf numFmtId="0" fontId="13" fillId="0" borderId="12" xfId="2" applyFont="1" applyBorder="1" applyAlignment="1" applyProtection="1">
      <alignment horizontal="right"/>
      <protection locked="0"/>
    </xf>
    <xf numFmtId="0" fontId="14" fillId="0" borderId="14" xfId="2" applyFont="1" applyBorder="1" applyProtection="1">
      <protection locked="0"/>
    </xf>
    <xf numFmtId="10" fontId="4" fillId="0" borderId="0" xfId="0" applyNumberFormat="1" applyFont="1" applyProtection="1">
      <protection locked="0"/>
    </xf>
    <xf numFmtId="0" fontId="17" fillId="0" borderId="0" xfId="0" applyFont="1" applyProtection="1"/>
    <xf numFmtId="0" fontId="17" fillId="0" borderId="0" xfId="0" applyFont="1" applyProtection="1">
      <protection hidden="1"/>
    </xf>
    <xf numFmtId="0" fontId="12" fillId="0" borderId="0" xfId="2" applyFont="1" applyProtection="1">
      <protection locked="0"/>
    </xf>
    <xf numFmtId="1" fontId="12" fillId="0" borderId="0" xfId="2" applyNumberFormat="1" applyFont="1" applyProtection="1">
      <protection locked="0"/>
    </xf>
    <xf numFmtId="0" fontId="12" fillId="2" borderId="9" xfId="2" applyFont="1" applyFill="1" applyBorder="1" applyProtection="1">
      <protection locked="0"/>
    </xf>
    <xf numFmtId="0" fontId="10" fillId="0" borderId="13" xfId="2" applyFont="1" applyBorder="1" applyProtection="1">
      <protection locked="0"/>
    </xf>
    <xf numFmtId="49" fontId="13" fillId="0" borderId="12" xfId="2" applyNumberFormat="1" applyFont="1" applyBorder="1" applyAlignment="1" applyProtection="1">
      <alignment horizontal="right"/>
      <protection locked="0"/>
    </xf>
    <xf numFmtId="0" fontId="14" fillId="0" borderId="12" xfId="2" applyFont="1" applyBorder="1" applyProtection="1">
      <protection locked="0"/>
    </xf>
    <xf numFmtId="0" fontId="17" fillId="0" borderId="0" xfId="0" applyFont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1" xfId="0" applyFont="1" applyBorder="1"/>
    <xf numFmtId="0" fontId="11" fillId="0" borderId="0" xfId="0" applyFont="1"/>
    <xf numFmtId="0" fontId="18" fillId="0" borderId="0" xfId="0" applyFont="1"/>
    <xf numFmtId="0" fontId="12" fillId="0" borderId="0" xfId="2" applyFont="1" applyFill="1" applyBorder="1" applyProtection="1">
      <protection locked="0"/>
    </xf>
    <xf numFmtId="1" fontId="12" fillId="0" borderId="0" xfId="2" applyNumberFormat="1" applyFont="1" applyFill="1" applyBorder="1" applyProtection="1">
      <protection locked="0"/>
    </xf>
    <xf numFmtId="0" fontId="12" fillId="0" borderId="11" xfId="2" applyFont="1" applyFill="1" applyBorder="1" applyProtection="1">
      <protection locked="0"/>
    </xf>
    <xf numFmtId="0" fontId="12" fillId="0" borderId="10" xfId="2" applyFont="1" applyFill="1" applyBorder="1" applyProtection="1">
      <protection locked="0"/>
    </xf>
    <xf numFmtId="0" fontId="12" fillId="0" borderId="16" xfId="2" applyFont="1" applyFill="1" applyBorder="1" applyProtection="1">
      <protection locked="0"/>
    </xf>
    <xf numFmtId="0" fontId="15" fillId="0" borderId="1" xfId="2" applyFont="1" applyFill="1" applyBorder="1" applyProtection="1">
      <protection locked="0"/>
    </xf>
    <xf numFmtId="0" fontId="12" fillId="2" borderId="17" xfId="2" applyFont="1" applyFill="1" applyBorder="1" applyProtection="1">
      <protection locked="0"/>
    </xf>
    <xf numFmtId="0" fontId="12" fillId="3" borderId="17" xfId="2" applyFont="1" applyFill="1" applyBorder="1" applyProtection="1">
      <protection locked="0"/>
    </xf>
    <xf numFmtId="0" fontId="12" fillId="3" borderId="15" xfId="2" applyFont="1" applyFill="1" applyBorder="1" applyAlignment="1" applyProtection="1">
      <alignment horizontal="right"/>
      <protection locked="0"/>
    </xf>
    <xf numFmtId="1" fontId="12" fillId="3" borderId="18" xfId="2" applyNumberFormat="1" applyFont="1" applyFill="1" applyBorder="1" applyProtection="1">
      <protection locked="0"/>
    </xf>
    <xf numFmtId="0" fontId="12" fillId="3" borderId="15" xfId="2" applyFont="1" applyFill="1" applyBorder="1" applyProtection="1">
      <protection locked="0"/>
    </xf>
    <xf numFmtId="0" fontId="12" fillId="3" borderId="18" xfId="2" applyFont="1" applyFill="1" applyBorder="1" applyProtection="1">
      <protection locked="0"/>
    </xf>
    <xf numFmtId="0" fontId="12" fillId="0" borderId="0" xfId="2" applyFont="1" applyFill="1" applyBorder="1" applyAlignment="1" applyProtection="1">
      <alignment horizontal="right"/>
      <protection locked="0"/>
    </xf>
    <xf numFmtId="1" fontId="13" fillId="0" borderId="0" xfId="2" applyNumberFormat="1" applyFont="1" applyFill="1" applyBorder="1" applyProtection="1">
      <protection locked="0"/>
    </xf>
    <xf numFmtId="0" fontId="10" fillId="0" borderId="0" xfId="2" applyFont="1" applyFill="1" applyBorder="1" applyProtection="1">
      <protection locked="0"/>
    </xf>
    <xf numFmtId="0" fontId="13" fillId="0" borderId="0" xfId="2" applyFont="1" applyFill="1" applyBorder="1" applyProtection="1">
      <protection locked="0"/>
    </xf>
    <xf numFmtId="49" fontId="13" fillId="0" borderId="0" xfId="2" applyNumberFormat="1" applyFont="1" applyFill="1" applyBorder="1" applyAlignment="1" applyProtection="1">
      <alignment horizontal="right"/>
      <protection locked="0"/>
    </xf>
    <xf numFmtId="0" fontId="14" fillId="0" borderId="0" xfId="2" applyFont="1" applyFill="1" applyBorder="1" applyProtection="1">
      <protection locked="0"/>
    </xf>
    <xf numFmtId="0" fontId="15" fillId="0" borderId="0" xfId="2" applyFont="1" applyFill="1" applyBorder="1" applyProtection="1"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 applyProtection="1">
      <protection locked="0"/>
    </xf>
    <xf numFmtId="0" fontId="19" fillId="0" borderId="0" xfId="2" applyFont="1" applyFill="1" applyBorder="1" applyProtection="1">
      <protection locked="0"/>
    </xf>
    <xf numFmtId="1" fontId="19" fillId="0" borderId="0" xfId="2" applyNumberFormat="1" applyFont="1" applyFill="1" applyBorder="1" applyProtection="1">
      <protection locked="0"/>
    </xf>
    <xf numFmtId="0" fontId="15" fillId="0" borderId="1" xfId="2" applyFont="1" applyFill="1" applyBorder="1" applyAlignment="1" applyProtection="1">
      <protection locked="0"/>
    </xf>
    <xf numFmtId="1" fontId="15" fillId="0" borderId="1" xfId="2" applyNumberFormat="1" applyFont="1" applyFill="1" applyBorder="1" applyAlignment="1" applyProtection="1">
      <protection locked="0"/>
    </xf>
    <xf numFmtId="1" fontId="19" fillId="0" borderId="1" xfId="2" applyNumberFormat="1" applyFont="1" applyFill="1" applyBorder="1" applyAlignment="1" applyProtection="1">
      <protection locked="0"/>
    </xf>
    <xf numFmtId="0" fontId="19" fillId="0" borderId="1" xfId="2" applyFont="1" applyFill="1" applyBorder="1" applyProtection="1">
      <protection locked="0"/>
    </xf>
    <xf numFmtId="169" fontId="13" fillId="0" borderId="0" xfId="1" applyNumberFormat="1" applyFont="1" applyFill="1" applyBorder="1" applyAlignment="1" applyProtection="1">
      <protection locked="0"/>
    </xf>
    <xf numFmtId="169" fontId="19" fillId="0" borderId="0" xfId="1" applyNumberFormat="1" applyFont="1" applyFill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2" fillId="0" borderId="0" xfId="2" applyFont="1" applyFill="1" applyProtection="1">
      <protection locked="0"/>
    </xf>
    <xf numFmtId="1" fontId="12" fillId="0" borderId="0" xfId="2" applyNumberFormat="1" applyFont="1" applyFill="1" applyProtection="1">
      <protection locked="0"/>
    </xf>
    <xf numFmtId="0" fontId="20" fillId="0" borderId="0" xfId="2" applyFont="1" applyFill="1" applyBorder="1" applyProtection="1">
      <protection locked="0"/>
    </xf>
    <xf numFmtId="0" fontId="19" fillId="0" borderId="0" xfId="2" applyFont="1" applyFill="1" applyBorder="1" applyAlignment="1" applyProtection="1">
      <protection locked="0"/>
    </xf>
    <xf numFmtId="0" fontId="20" fillId="0" borderId="0" xfId="2" applyFont="1" applyFill="1" applyBorder="1" applyAlignment="1" applyProtection="1">
      <alignment horizontal="right"/>
      <protection locked="0"/>
    </xf>
    <xf numFmtId="1" fontId="20" fillId="0" borderId="0" xfId="2" applyNumberFormat="1" applyFont="1" applyFill="1" applyBorder="1" applyProtection="1"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12" fillId="0" borderId="16" xfId="2" applyFont="1" applyFill="1" applyBorder="1" applyAlignment="1" applyProtection="1">
      <alignment horizontal="right"/>
      <protection locked="0"/>
    </xf>
    <xf numFmtId="1" fontId="12" fillId="0" borderId="16" xfId="2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1" fontId="15" fillId="0" borderId="0" xfId="2" applyNumberFormat="1" applyFont="1" applyFill="1" applyBorder="1" applyAlignment="1" applyProtection="1">
      <protection locked="0"/>
    </xf>
    <xf numFmtId="1" fontId="19" fillId="0" borderId="0" xfId="2" applyNumberFormat="1" applyFont="1" applyFill="1" applyBorder="1" applyAlignment="1" applyProtection="1">
      <protection locked="0"/>
    </xf>
    <xf numFmtId="3" fontId="13" fillId="0" borderId="0" xfId="1" applyNumberFormat="1" applyFont="1" applyFill="1" applyBorder="1" applyAlignment="1" applyProtection="1">
      <protection locked="0"/>
    </xf>
    <xf numFmtId="0" fontId="19" fillId="0" borderId="1" xfId="2" applyFont="1" applyFill="1" applyBorder="1" applyAlignment="1" applyProtection="1">
      <protection locked="0"/>
    </xf>
    <xf numFmtId="0" fontId="18" fillId="0" borderId="1" xfId="0" applyFont="1" applyBorder="1"/>
    <xf numFmtId="0" fontId="18" fillId="0" borderId="1" xfId="0" applyFont="1" applyBorder="1" applyProtection="1">
      <protection locked="0"/>
    </xf>
    <xf numFmtId="0" fontId="18" fillId="0" borderId="1" xfId="0" applyFont="1" applyBorder="1" applyAlignment="1" applyProtection="1">
      <protection locked="0"/>
    </xf>
    <xf numFmtId="0" fontId="0" fillId="0" borderId="0" xfId="0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11" fillId="0" borderId="0" xfId="0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64" fontId="0" fillId="0" borderId="5" xfId="0" applyNumberForma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7" fontId="0" fillId="0" borderId="4" xfId="0" applyNumberForma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4" xfId="0" applyNumberFormat="1" applyBorder="1" applyAlignment="1">
      <alignment horizontal="right"/>
    </xf>
    <xf numFmtId="3" fontId="21" fillId="0" borderId="4" xfId="0" applyNumberFormat="1" applyFon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left"/>
    </xf>
    <xf numFmtId="172" fontId="4" fillId="0" borderId="6" xfId="3" applyNumberFormat="1" applyFont="1" applyBorder="1" applyAlignment="1">
      <alignment horizontal="center"/>
    </xf>
    <xf numFmtId="171" fontId="0" fillId="0" borderId="0" xfId="3" applyNumberFormat="1" applyFont="1" applyAlignment="1"/>
    <xf numFmtId="172" fontId="0" fillId="0" borderId="0" xfId="3" applyNumberFormat="1" applyFont="1" applyAlignment="1"/>
    <xf numFmtId="172" fontId="0" fillId="0" borderId="0" xfId="3" applyNumberFormat="1" applyFont="1" applyAlignment="1">
      <alignment horizontal="right"/>
    </xf>
    <xf numFmtId="0" fontId="6" fillId="0" borderId="1" xfId="0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2" fillId="4" borderId="0" xfId="2" applyFont="1" applyFill="1" applyBorder="1" applyProtection="1">
      <protection locked="0"/>
    </xf>
    <xf numFmtId="0" fontId="12" fillId="4" borderId="0" xfId="2" applyFont="1" applyFill="1" applyBorder="1" applyAlignment="1" applyProtection="1">
      <alignment horizontal="right"/>
      <protection locked="0"/>
    </xf>
    <xf numFmtId="1" fontId="12" fillId="4" borderId="0" xfId="2" applyNumberFormat="1" applyFont="1" applyFill="1" applyBorder="1" applyProtection="1">
      <protection locked="0"/>
    </xf>
    <xf numFmtId="1" fontId="13" fillId="4" borderId="0" xfId="2" applyNumberFormat="1" applyFont="1" applyFill="1" applyBorder="1" applyProtection="1">
      <protection locked="0"/>
    </xf>
    <xf numFmtId="0" fontId="13" fillId="4" borderId="0" xfId="2" applyFont="1" applyFill="1" applyBorder="1" applyProtection="1">
      <protection locked="0"/>
    </xf>
    <xf numFmtId="0" fontId="13" fillId="4" borderId="0" xfId="2" applyFont="1" applyFill="1" applyBorder="1" applyAlignment="1" applyProtection="1">
      <alignment horizontal="right"/>
      <protection locked="0"/>
    </xf>
    <xf numFmtId="169" fontId="13" fillId="4" borderId="0" xfId="1" applyNumberFormat="1" applyFont="1" applyFill="1" applyBorder="1" applyAlignment="1" applyProtection="1">
      <alignment horizontal="right"/>
      <protection locked="0"/>
    </xf>
    <xf numFmtId="0" fontId="15" fillId="4" borderId="0" xfId="2" applyFont="1" applyFill="1" applyBorder="1" applyProtection="1">
      <protection locked="0"/>
    </xf>
    <xf numFmtId="0" fontId="15" fillId="4" borderId="0" xfId="2" applyFont="1" applyFill="1" applyBorder="1" applyAlignment="1" applyProtection="1">
      <alignment horizontal="right"/>
      <protection locked="0"/>
    </xf>
    <xf numFmtId="0" fontId="15" fillId="4" borderId="0" xfId="2" applyFont="1" applyFill="1" applyBorder="1" applyAlignment="1" applyProtection="1">
      <alignment horizontal="left"/>
      <protection locked="0"/>
    </xf>
    <xf numFmtId="1" fontId="15" fillId="4" borderId="0" xfId="2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4" xfId="0" applyFont="1" applyBorder="1"/>
    <xf numFmtId="165" fontId="10" fillId="0" borderId="4" xfId="0" applyNumberFormat="1" applyFont="1" applyBorder="1" applyProtection="1">
      <protection locked="0"/>
    </xf>
    <xf numFmtId="166" fontId="0" fillId="0" borderId="4" xfId="0" applyNumberFormat="1" applyBorder="1" applyAlignment="1">
      <alignment horizontal="center"/>
    </xf>
    <xf numFmtId="0" fontId="0" fillId="0" borderId="4" xfId="0" applyBorder="1"/>
    <xf numFmtId="167" fontId="0" fillId="0" borderId="4" xfId="0" applyNumberForma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0" fillId="0" borderId="4" xfId="0" applyNumberFormat="1" applyBorder="1"/>
    <xf numFmtId="165" fontId="10" fillId="0" borderId="4" xfId="0" applyNumberFormat="1" applyFont="1" applyFill="1" applyBorder="1" applyProtection="1">
      <protection locked="0"/>
    </xf>
    <xf numFmtId="2" fontId="10" fillId="0" borderId="4" xfId="0" applyNumberFormat="1" applyFont="1" applyBorder="1" applyProtection="1">
      <protection locked="0"/>
    </xf>
    <xf numFmtId="2" fontId="10" fillId="0" borderId="4" xfId="0" applyNumberFormat="1" applyFont="1" applyBorder="1" applyAlignment="1" applyProtection="1">
      <alignment horizontal="right"/>
      <protection locked="0"/>
    </xf>
    <xf numFmtId="2" fontId="10" fillId="0" borderId="4" xfId="0" applyNumberFormat="1" applyFont="1" applyFill="1" applyBorder="1" applyProtection="1">
      <protection locked="0"/>
    </xf>
    <xf numFmtId="164" fontId="0" fillId="0" borderId="0" xfId="0" applyNumberFormat="1" applyBorder="1"/>
    <xf numFmtId="0" fontId="4" fillId="0" borderId="5" xfId="0" applyFont="1" applyBorder="1" applyAlignment="1">
      <alignment horizontal="right"/>
    </xf>
    <xf numFmtId="0" fontId="1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 applyProtection="1">
      <alignment horizontal="left"/>
      <protection locked="0"/>
    </xf>
    <xf numFmtId="1" fontId="15" fillId="0" borderId="13" xfId="2" applyNumberFormat="1" applyFont="1" applyBorder="1" applyAlignment="1" applyProtection="1">
      <alignment horizontal="right"/>
      <protection locked="0"/>
    </xf>
    <xf numFmtId="1" fontId="15" fillId="0" borderId="14" xfId="2" applyNumberFormat="1" applyFont="1" applyBorder="1" applyAlignment="1" applyProtection="1">
      <alignment horizontal="right"/>
      <protection locked="0"/>
    </xf>
    <xf numFmtId="0" fontId="15" fillId="0" borderId="13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0" fontId="15" fillId="0" borderId="14" xfId="2" applyFont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169" fontId="13" fillId="0" borderId="13" xfId="1" applyNumberFormat="1" applyFont="1" applyBorder="1" applyAlignment="1" applyProtection="1">
      <alignment horizontal="right"/>
      <protection locked="0"/>
    </xf>
    <xf numFmtId="169" fontId="13" fillId="0" borderId="14" xfId="1" applyNumberFormat="1" applyFont="1" applyBorder="1" applyAlignment="1" applyProtection="1">
      <alignment horizontal="right"/>
      <protection locked="0"/>
    </xf>
    <xf numFmtId="3" fontId="13" fillId="0" borderId="13" xfId="1" applyNumberFormat="1" applyFont="1" applyBorder="1" applyAlignment="1" applyProtection="1">
      <alignment horizontal="right"/>
      <protection locked="0"/>
    </xf>
    <xf numFmtId="3" fontId="13" fillId="0" borderId="14" xfId="1" applyNumberFormat="1" applyFont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1" xfId="2" applyFont="1" applyFill="1" applyBorder="1" applyAlignment="1" applyProtection="1">
      <alignment horizontal="left"/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</cellXfs>
  <cellStyles count="4">
    <cellStyle name="Comma" xfId="3" builtinId="3"/>
    <cellStyle name="Currency_Sheet1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628650</xdr:colOff>
      <xdr:row>2</xdr:row>
      <xdr:rowOff>190500</xdr:rowOff>
    </xdr:to>
    <xdr:pic>
      <xdr:nvPicPr>
        <xdr:cNvPr id="2087" name="Picture 2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38100</xdr:rowOff>
    </xdr:from>
    <xdr:to>
      <xdr:col>17</xdr:col>
      <xdr:colOff>571500</xdr:colOff>
      <xdr:row>3</xdr:row>
      <xdr:rowOff>0</xdr:rowOff>
    </xdr:to>
    <xdr:pic>
      <xdr:nvPicPr>
        <xdr:cNvPr id="2088" name="Picture 2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1900" y="3810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0</xdr:rowOff>
    </xdr:from>
    <xdr:to>
      <xdr:col>6</xdr:col>
      <xdr:colOff>638175</xdr:colOff>
      <xdr:row>2</xdr:row>
      <xdr:rowOff>190500</xdr:rowOff>
    </xdr:to>
    <xdr:pic>
      <xdr:nvPicPr>
        <xdr:cNvPr id="11306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11307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2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19051</xdr:rowOff>
    </xdr:from>
    <xdr:to>
      <xdr:col>6</xdr:col>
      <xdr:colOff>622554</xdr:colOff>
      <xdr:row>3</xdr:row>
      <xdr:rowOff>1</xdr:rowOff>
    </xdr:to>
    <xdr:pic>
      <xdr:nvPicPr>
        <xdr:cNvPr id="12330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19051"/>
          <a:ext cx="76542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0</xdr:row>
      <xdr:rowOff>9525</xdr:rowOff>
    </xdr:from>
    <xdr:to>
      <xdr:col>17</xdr:col>
      <xdr:colOff>534743</xdr:colOff>
      <xdr:row>3</xdr:row>
      <xdr:rowOff>0</xdr:rowOff>
    </xdr:to>
    <xdr:pic>
      <xdr:nvPicPr>
        <xdr:cNvPr id="12331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0" y="9525"/>
          <a:ext cx="71571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257175</xdr:colOff>
      <xdr:row>0</xdr:row>
      <xdr:rowOff>0</xdr:rowOff>
    </xdr:from>
    <xdr:to>
      <xdr:col>28</xdr:col>
      <xdr:colOff>363293</xdr:colOff>
      <xdr:row>2</xdr:row>
      <xdr:rowOff>219075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9875" y="0"/>
          <a:ext cx="71571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19050</xdr:rowOff>
    </xdr:from>
    <xdr:to>
      <xdr:col>6</xdr:col>
      <xdr:colOff>638175</xdr:colOff>
      <xdr:row>2</xdr:row>
      <xdr:rowOff>209550</xdr:rowOff>
    </xdr:to>
    <xdr:pic>
      <xdr:nvPicPr>
        <xdr:cNvPr id="1335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1335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19050</xdr:rowOff>
    </xdr:from>
    <xdr:to>
      <xdr:col>6</xdr:col>
      <xdr:colOff>676275</xdr:colOff>
      <xdr:row>2</xdr:row>
      <xdr:rowOff>209550</xdr:rowOff>
    </xdr:to>
    <xdr:pic>
      <xdr:nvPicPr>
        <xdr:cNvPr id="14378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9525</xdr:rowOff>
    </xdr:from>
    <xdr:to>
      <xdr:col>17</xdr:col>
      <xdr:colOff>590550</xdr:colOff>
      <xdr:row>2</xdr:row>
      <xdr:rowOff>200025</xdr:rowOff>
    </xdr:to>
    <xdr:pic>
      <xdr:nvPicPr>
        <xdr:cNvPr id="14379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39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514350</xdr:colOff>
      <xdr:row>0</xdr:row>
      <xdr:rowOff>0</xdr:rowOff>
    </xdr:from>
    <xdr:to>
      <xdr:col>28</xdr:col>
      <xdr:colOff>600075</xdr:colOff>
      <xdr:row>2</xdr:row>
      <xdr:rowOff>190500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8802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28575</xdr:rowOff>
    </xdr:from>
    <xdr:to>
      <xdr:col>6</xdr:col>
      <xdr:colOff>590550</xdr:colOff>
      <xdr:row>2</xdr:row>
      <xdr:rowOff>219075</xdr:rowOff>
    </xdr:to>
    <xdr:pic>
      <xdr:nvPicPr>
        <xdr:cNvPr id="1540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2857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1540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535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28575</xdr:rowOff>
    </xdr:from>
    <xdr:to>
      <xdr:col>6</xdr:col>
      <xdr:colOff>590550</xdr:colOff>
      <xdr:row>2</xdr:row>
      <xdr:rowOff>219075</xdr:rowOff>
    </xdr:to>
    <xdr:pic>
      <xdr:nvPicPr>
        <xdr:cNvPr id="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2857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19050</xdr:rowOff>
    </xdr:from>
    <xdr:to>
      <xdr:col>17</xdr:col>
      <xdr:colOff>600075</xdr:colOff>
      <xdr:row>2</xdr:row>
      <xdr:rowOff>209550</xdr:rowOff>
    </xdr:to>
    <xdr:pic>
      <xdr:nvPicPr>
        <xdr:cNvPr id="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72975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312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312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571500</xdr:colOff>
      <xdr:row>0</xdr:row>
      <xdr:rowOff>9525</xdr:rowOff>
    </xdr:from>
    <xdr:to>
      <xdr:col>17</xdr:col>
      <xdr:colOff>571500</xdr:colOff>
      <xdr:row>2</xdr:row>
      <xdr:rowOff>200025</xdr:rowOff>
    </xdr:to>
    <xdr:pic>
      <xdr:nvPicPr>
        <xdr:cNvPr id="312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68125" y="9525"/>
          <a:ext cx="609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571500</xdr:colOff>
      <xdr:row>2</xdr:row>
      <xdr:rowOff>190500</xdr:rowOff>
    </xdr:to>
    <xdr:pic>
      <xdr:nvPicPr>
        <xdr:cNvPr id="4147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571500</xdr:colOff>
      <xdr:row>2</xdr:row>
      <xdr:rowOff>190500</xdr:rowOff>
    </xdr:to>
    <xdr:pic>
      <xdr:nvPicPr>
        <xdr:cNvPr id="4148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495300</xdr:colOff>
      <xdr:row>0</xdr:row>
      <xdr:rowOff>9525</xdr:rowOff>
    </xdr:from>
    <xdr:to>
      <xdr:col>17</xdr:col>
      <xdr:colOff>581025</xdr:colOff>
      <xdr:row>2</xdr:row>
      <xdr:rowOff>200025</xdr:rowOff>
    </xdr:to>
    <xdr:pic>
      <xdr:nvPicPr>
        <xdr:cNvPr id="4149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43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451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600075</xdr:colOff>
      <xdr:row>2</xdr:row>
      <xdr:rowOff>190500</xdr:rowOff>
    </xdr:to>
    <xdr:pic>
      <xdr:nvPicPr>
        <xdr:cNvPr id="5172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495300</xdr:colOff>
      <xdr:row>0</xdr:row>
      <xdr:rowOff>9525</xdr:rowOff>
    </xdr:from>
    <xdr:to>
      <xdr:col>17</xdr:col>
      <xdr:colOff>581025</xdr:colOff>
      <xdr:row>2</xdr:row>
      <xdr:rowOff>200025</xdr:rowOff>
    </xdr:to>
    <xdr:pic>
      <xdr:nvPicPr>
        <xdr:cNvPr id="5173" name="Picture 3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240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0</xdr:rowOff>
    </xdr:from>
    <xdr:to>
      <xdr:col>6</xdr:col>
      <xdr:colOff>628650</xdr:colOff>
      <xdr:row>2</xdr:row>
      <xdr:rowOff>190500</xdr:rowOff>
    </xdr:to>
    <xdr:pic>
      <xdr:nvPicPr>
        <xdr:cNvPr id="6197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405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19050</xdr:rowOff>
    </xdr:from>
    <xdr:to>
      <xdr:col>17</xdr:col>
      <xdr:colOff>590550</xdr:colOff>
      <xdr:row>2</xdr:row>
      <xdr:rowOff>209550</xdr:rowOff>
    </xdr:to>
    <xdr:pic>
      <xdr:nvPicPr>
        <xdr:cNvPr id="6198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1905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542925</xdr:colOff>
      <xdr:row>2</xdr:row>
      <xdr:rowOff>190500</xdr:rowOff>
    </xdr:to>
    <xdr:pic>
      <xdr:nvPicPr>
        <xdr:cNvPr id="7219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542925</xdr:colOff>
      <xdr:row>2</xdr:row>
      <xdr:rowOff>190500</xdr:rowOff>
    </xdr:to>
    <xdr:pic>
      <xdr:nvPicPr>
        <xdr:cNvPr id="7220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504825</xdr:colOff>
      <xdr:row>0</xdr:row>
      <xdr:rowOff>0</xdr:rowOff>
    </xdr:from>
    <xdr:to>
      <xdr:col>17</xdr:col>
      <xdr:colOff>590550</xdr:colOff>
      <xdr:row>2</xdr:row>
      <xdr:rowOff>190500</xdr:rowOff>
    </xdr:to>
    <xdr:pic>
      <xdr:nvPicPr>
        <xdr:cNvPr id="7221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253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0</xdr:rowOff>
    </xdr:from>
    <xdr:to>
      <xdr:col>6</xdr:col>
      <xdr:colOff>676275</xdr:colOff>
      <xdr:row>2</xdr:row>
      <xdr:rowOff>190500</xdr:rowOff>
    </xdr:to>
    <xdr:pic>
      <xdr:nvPicPr>
        <xdr:cNvPr id="8234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0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457200</xdr:colOff>
      <xdr:row>0</xdr:row>
      <xdr:rowOff>9525</xdr:rowOff>
    </xdr:from>
    <xdr:to>
      <xdr:col>17</xdr:col>
      <xdr:colOff>542925</xdr:colOff>
      <xdr:row>2</xdr:row>
      <xdr:rowOff>200025</xdr:rowOff>
    </xdr:to>
    <xdr:pic>
      <xdr:nvPicPr>
        <xdr:cNvPr id="8235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9525</xdr:rowOff>
    </xdr:from>
    <xdr:to>
      <xdr:col>7</xdr:col>
      <xdr:colOff>0</xdr:colOff>
      <xdr:row>2</xdr:row>
      <xdr:rowOff>200025</xdr:rowOff>
    </xdr:to>
    <xdr:pic>
      <xdr:nvPicPr>
        <xdr:cNvPr id="9258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9259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28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6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9525</xdr:rowOff>
    </xdr:from>
    <xdr:to>
      <xdr:col>6</xdr:col>
      <xdr:colOff>561975</xdr:colOff>
      <xdr:row>2</xdr:row>
      <xdr:rowOff>200025</xdr:rowOff>
    </xdr:to>
    <xdr:pic>
      <xdr:nvPicPr>
        <xdr:cNvPr id="10282" name="Picture 1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514350</xdr:colOff>
      <xdr:row>0</xdr:row>
      <xdr:rowOff>9525</xdr:rowOff>
    </xdr:from>
    <xdr:to>
      <xdr:col>17</xdr:col>
      <xdr:colOff>600075</xdr:colOff>
      <xdr:row>2</xdr:row>
      <xdr:rowOff>200025</xdr:rowOff>
    </xdr:to>
    <xdr:pic>
      <xdr:nvPicPr>
        <xdr:cNvPr id="10283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352425</xdr:colOff>
      <xdr:row>0</xdr:row>
      <xdr:rowOff>9525</xdr:rowOff>
    </xdr:from>
    <xdr:to>
      <xdr:col>28</xdr:col>
      <xdr:colOff>438150</xdr:colOff>
      <xdr:row>2</xdr:row>
      <xdr:rowOff>200025</xdr:rowOff>
    </xdr:to>
    <xdr:pic>
      <xdr:nvPicPr>
        <xdr:cNvPr id="4" name="Picture 4" descr="vegagerdin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95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G31" sqref="G31"/>
    </sheetView>
  </sheetViews>
  <sheetFormatPr defaultRowHeight="12.75"/>
  <cols>
    <col min="1" max="1" width="26.140625" style="5" customWidth="1"/>
    <col min="2" max="2" width="11.7109375" bestFit="1" customWidth="1"/>
    <col min="3" max="3" width="14.42578125" customWidth="1"/>
    <col min="4" max="4" width="14.42578125" bestFit="1" customWidth="1"/>
    <col min="5" max="5" width="20.85546875" customWidth="1"/>
    <col min="6" max="6" width="13.85546875" customWidth="1"/>
    <col min="7" max="7" width="15.7109375" bestFit="1" customWidth="1"/>
    <col min="8" max="8" width="14.85546875" bestFit="1" customWidth="1"/>
    <col min="9" max="9" width="10.42578125" bestFit="1" customWidth="1"/>
  </cols>
  <sheetData>
    <row r="1" spans="1:9" ht="15.75">
      <c r="A1" s="194" t="s">
        <v>1</v>
      </c>
      <c r="B1" s="185"/>
      <c r="C1" s="185"/>
      <c r="D1" s="185"/>
      <c r="E1" s="185"/>
      <c r="F1" s="185"/>
      <c r="G1" s="185"/>
      <c r="H1" s="185"/>
    </row>
    <row r="2" spans="1:9">
      <c r="A2" s="195"/>
      <c r="B2" s="185"/>
      <c r="C2" s="185"/>
      <c r="D2" s="185"/>
      <c r="E2" s="185"/>
      <c r="F2" s="185"/>
      <c r="G2" s="185"/>
      <c r="H2" s="185"/>
    </row>
    <row r="3" spans="1:9" ht="18">
      <c r="A3" s="196" t="s">
        <v>0</v>
      </c>
      <c r="B3" s="185"/>
      <c r="C3" s="185"/>
      <c r="D3" s="185"/>
      <c r="E3" s="185"/>
      <c r="F3" s="185"/>
      <c r="G3" s="185"/>
      <c r="H3" s="185"/>
    </row>
    <row r="4" spans="1:9">
      <c r="A4" s="195"/>
      <c r="B4" s="185"/>
      <c r="C4" s="185"/>
      <c r="D4" s="185"/>
      <c r="E4" s="185"/>
      <c r="F4" s="185"/>
      <c r="G4" s="185"/>
      <c r="H4" s="185"/>
    </row>
    <row r="5" spans="1:9" ht="15">
      <c r="A5" s="228" t="s">
        <v>79</v>
      </c>
      <c r="B5" s="186"/>
      <c r="C5" s="187"/>
      <c r="D5" s="187"/>
      <c r="E5" s="187"/>
      <c r="F5" s="187"/>
      <c r="G5" s="187"/>
      <c r="H5" s="187"/>
      <c r="I5" s="120"/>
    </row>
    <row r="6" spans="1:9">
      <c r="A6" s="195"/>
      <c r="B6" s="185"/>
      <c r="C6" s="185"/>
      <c r="D6" s="185"/>
      <c r="E6" s="185"/>
      <c r="F6" s="185"/>
      <c r="G6" s="185"/>
      <c r="H6" s="185"/>
      <c r="I6" s="78"/>
    </row>
    <row r="7" spans="1:9" ht="15">
      <c r="A7" s="228" t="s">
        <v>80</v>
      </c>
      <c r="B7" s="186"/>
      <c r="C7" s="187"/>
      <c r="D7" s="187"/>
      <c r="E7" s="187"/>
      <c r="F7" s="270" t="s">
        <v>45</v>
      </c>
      <c r="G7" s="270"/>
      <c r="H7" s="187"/>
      <c r="I7" s="120"/>
    </row>
    <row r="8" spans="1:9">
      <c r="A8" s="195"/>
      <c r="B8" s="185"/>
      <c r="C8" s="185"/>
      <c r="D8" s="185"/>
      <c r="E8" s="185"/>
      <c r="F8" s="185"/>
      <c r="G8" s="185"/>
      <c r="H8" s="185"/>
      <c r="I8" s="78"/>
    </row>
    <row r="9" spans="1:9" ht="15">
      <c r="A9" s="267" t="s">
        <v>57</v>
      </c>
      <c r="B9" s="267"/>
      <c r="C9" s="268"/>
      <c r="D9" s="268"/>
      <c r="E9" s="268"/>
      <c r="F9" s="268"/>
      <c r="G9" s="268"/>
      <c r="H9" s="268"/>
      <c r="I9" s="268"/>
    </row>
    <row r="10" spans="1:9">
      <c r="A10" s="193"/>
      <c r="B10" s="4"/>
      <c r="C10" s="3"/>
      <c r="D10" s="3"/>
      <c r="E10" s="3"/>
      <c r="F10" s="3"/>
      <c r="G10" s="3"/>
      <c r="H10" s="3"/>
      <c r="I10" s="3"/>
    </row>
    <row r="11" spans="1:9">
      <c r="A11" s="269" t="s">
        <v>6</v>
      </c>
      <c r="B11" s="269"/>
      <c r="C11" s="269"/>
      <c r="D11" s="269"/>
      <c r="E11" s="3"/>
      <c r="F11" s="3"/>
      <c r="G11" s="3"/>
      <c r="H11" s="3"/>
      <c r="I11" s="3"/>
    </row>
    <row r="12" spans="1:9">
      <c r="B12" s="3"/>
      <c r="C12" s="3"/>
      <c r="D12" s="3"/>
      <c r="E12" s="3"/>
      <c r="F12" s="3"/>
      <c r="G12" s="3"/>
      <c r="H12" s="3"/>
      <c r="I12" s="3"/>
    </row>
    <row r="13" spans="1:9">
      <c r="B13" s="3"/>
      <c r="C13" s="3"/>
      <c r="D13" s="3"/>
      <c r="E13" s="3"/>
      <c r="F13" s="3"/>
      <c r="G13" s="3"/>
      <c r="H13" s="3"/>
      <c r="I13" s="3"/>
    </row>
    <row r="14" spans="1:9">
      <c r="A14" s="212" t="s">
        <v>3</v>
      </c>
      <c r="B14" s="46" t="s">
        <v>4</v>
      </c>
      <c r="C14" s="46" t="s">
        <v>5</v>
      </c>
      <c r="D14" s="46" t="s">
        <v>7</v>
      </c>
      <c r="E14" s="3"/>
      <c r="F14" s="72" t="s">
        <v>15</v>
      </c>
      <c r="G14" s="79">
        <v>0</v>
      </c>
      <c r="I14" s="3"/>
    </row>
    <row r="15" spans="1:9">
      <c r="A15" s="198"/>
      <c r="B15" s="213"/>
      <c r="C15" s="213"/>
      <c r="D15" s="213"/>
      <c r="E15" s="3"/>
      <c r="F15" s="3"/>
      <c r="G15" s="3"/>
      <c r="H15" s="3"/>
      <c r="I15" s="3"/>
    </row>
    <row r="16" spans="1:9">
      <c r="A16" s="214" t="s">
        <v>63</v>
      </c>
      <c r="B16" s="215"/>
      <c r="C16" s="215"/>
      <c r="D16" s="216">
        <f>C16*Smábíll_einv</f>
        <v>0</v>
      </c>
      <c r="E16" s="3" t="s">
        <v>16</v>
      </c>
      <c r="F16" s="73" t="s">
        <v>17</v>
      </c>
      <c r="G16" s="74">
        <f>Heildarupphæð*Fast_gjald_hlutfall</f>
        <v>0</v>
      </c>
      <c r="H16" s="3"/>
      <c r="I16" s="3"/>
    </row>
    <row r="17" spans="1:9">
      <c r="A17" s="214" t="s">
        <v>64</v>
      </c>
      <c r="B17" s="215"/>
      <c r="C17" s="217"/>
      <c r="D17" s="216">
        <f>C17*Vörubíll_mokstur_einv</f>
        <v>0</v>
      </c>
      <c r="E17" s="8"/>
      <c r="F17" s="3"/>
      <c r="G17" s="3"/>
      <c r="H17" s="3"/>
      <c r="I17" s="3"/>
    </row>
    <row r="18" spans="1:9">
      <c r="A18" s="214" t="s">
        <v>65</v>
      </c>
      <c r="B18" s="215"/>
      <c r="C18" s="215"/>
      <c r="D18" s="216">
        <f>C18*Vörubíll_undirtönn_einv</f>
        <v>0</v>
      </c>
      <c r="E18" s="3"/>
      <c r="F18" s="3"/>
      <c r="G18" s="3"/>
      <c r="H18" s="3"/>
      <c r="I18" s="3"/>
    </row>
    <row r="19" spans="1:9">
      <c r="A19" s="214" t="s">
        <v>66</v>
      </c>
      <c r="B19" s="215"/>
      <c r="C19" s="215"/>
      <c r="D19" s="216">
        <f>C19*Vinnuvél_1_einv</f>
        <v>0</v>
      </c>
      <c r="E19" s="266" t="s">
        <v>18</v>
      </c>
      <c r="F19" s="266"/>
      <c r="G19" s="80">
        <v>0</v>
      </c>
      <c r="H19" s="3"/>
      <c r="I19" s="3"/>
    </row>
    <row r="20" spans="1:9">
      <c r="A20" s="214" t="s">
        <v>67</v>
      </c>
      <c r="B20" s="215"/>
      <c r="C20" s="215"/>
      <c r="D20" s="216">
        <f>C20*Vinnuvél_2_einv</f>
        <v>0</v>
      </c>
      <c r="E20" s="3"/>
      <c r="F20" s="3"/>
      <c r="G20" s="3"/>
      <c r="H20" s="3"/>
      <c r="I20" s="3"/>
    </row>
    <row r="21" spans="1:9">
      <c r="A21" s="214" t="s">
        <v>68</v>
      </c>
      <c r="B21" s="215"/>
      <c r="C21" s="215"/>
      <c r="D21" s="216">
        <f>C21*Vinnuvél_3_einv</f>
        <v>0</v>
      </c>
      <c r="E21" s="3"/>
      <c r="F21" s="3"/>
      <c r="G21" s="3"/>
      <c r="H21" s="3"/>
      <c r="I21" s="3"/>
    </row>
    <row r="22" spans="1:9">
      <c r="A22" s="214"/>
      <c r="B22" s="215"/>
      <c r="C22" s="215"/>
      <c r="D22" s="216">
        <f>C22*Vinnuvél_4_einv</f>
        <v>0</v>
      </c>
      <c r="E22" s="3"/>
      <c r="F22" s="3"/>
      <c r="G22" s="3"/>
      <c r="H22" s="3"/>
      <c r="I22" s="3"/>
    </row>
    <row r="23" spans="1:9">
      <c r="A23" s="214"/>
      <c r="B23" s="215"/>
      <c r="C23" s="215"/>
      <c r="D23" s="216">
        <f>C23*Biðtími_smábíll_einv</f>
        <v>0</v>
      </c>
      <c r="E23" s="3"/>
      <c r="F23" s="72" t="s">
        <v>72</v>
      </c>
      <c r="G23" s="220">
        <f>Heildarupphæð-Fast_gjald_kr.</f>
        <v>0</v>
      </c>
      <c r="H23" s="3"/>
      <c r="I23" s="3"/>
    </row>
    <row r="24" spans="1:9">
      <c r="A24" s="214"/>
      <c r="B24" s="215"/>
      <c r="C24" s="215"/>
      <c r="D24" s="216">
        <f>C24*Biðtími_vörubíll_einv</f>
        <v>0</v>
      </c>
      <c r="E24" s="3"/>
      <c r="F24" s="3"/>
      <c r="G24" s="3"/>
      <c r="H24" s="3"/>
      <c r="I24" s="3"/>
    </row>
    <row r="25" spans="1:9">
      <c r="A25" s="214"/>
      <c r="B25" s="218"/>
      <c r="C25" s="218"/>
      <c r="D25" s="218"/>
      <c r="E25" s="3"/>
      <c r="F25" s="3"/>
      <c r="G25" s="3"/>
      <c r="H25" s="3"/>
      <c r="I25" s="3"/>
    </row>
    <row r="26" spans="1:9">
      <c r="A26" s="197"/>
      <c r="B26" s="75"/>
      <c r="C26" s="76" t="s">
        <v>8</v>
      </c>
      <c r="D26" s="192">
        <f>SUM(D16:D24)</f>
        <v>0</v>
      </c>
      <c r="E26" s="6"/>
      <c r="F26" s="6"/>
      <c r="G26" s="6"/>
      <c r="H26" s="6"/>
      <c r="I26" s="6"/>
    </row>
    <row r="27" spans="1:9">
      <c r="B27" s="3"/>
      <c r="C27" s="3"/>
      <c r="D27" s="3"/>
      <c r="E27" s="7"/>
      <c r="F27" s="7"/>
      <c r="G27" s="7"/>
      <c r="H27" s="7"/>
      <c r="I27" s="7"/>
    </row>
    <row r="28" spans="1:9">
      <c r="B28" s="3"/>
      <c r="C28" s="3"/>
      <c r="D28" s="3"/>
      <c r="E28" s="7"/>
      <c r="F28" s="7"/>
      <c r="G28" s="7"/>
      <c r="H28" s="7"/>
      <c r="I28" s="7"/>
    </row>
    <row r="29" spans="1:9">
      <c r="B29" s="3"/>
      <c r="C29" s="3"/>
      <c r="D29" s="3"/>
      <c r="E29" s="7"/>
      <c r="F29" s="7"/>
      <c r="G29" s="7"/>
      <c r="H29" s="7"/>
      <c r="I29" s="7"/>
    </row>
    <row r="30" spans="1:9">
      <c r="B30" s="3"/>
      <c r="C30" s="3"/>
      <c r="D30" s="3"/>
      <c r="E30" s="3"/>
      <c r="F30" s="3"/>
      <c r="G30" s="3"/>
      <c r="H30" s="3"/>
    </row>
    <row r="34" spans="1:8">
      <c r="A34" s="198"/>
      <c r="B34" s="45" t="s">
        <v>81</v>
      </c>
      <c r="C34" s="45" t="s">
        <v>82</v>
      </c>
      <c r="D34" s="45" t="s">
        <v>83</v>
      </c>
      <c r="E34" s="46" t="s">
        <v>84</v>
      </c>
    </row>
    <row r="35" spans="1:8">
      <c r="A35" s="251" t="s">
        <v>85</v>
      </c>
      <c r="B35" s="252">
        <v>102.5</v>
      </c>
      <c r="C35" s="252">
        <v>136</v>
      </c>
      <c r="D35" s="252">
        <v>131.19999999999999</v>
      </c>
      <c r="E35" s="253">
        <v>1.0024663</v>
      </c>
    </row>
    <row r="36" spans="1:8">
      <c r="A36" s="251" t="s">
        <v>86</v>
      </c>
      <c r="B36" s="252">
        <v>0.15</v>
      </c>
      <c r="C36" s="252">
        <v>0.15</v>
      </c>
      <c r="D36" s="252">
        <v>0.7</v>
      </c>
      <c r="E36" s="239"/>
    </row>
    <row r="39" spans="1:8">
      <c r="A39" s="198" t="s">
        <v>29</v>
      </c>
      <c r="B39" s="45" t="s">
        <v>81</v>
      </c>
      <c r="C39" s="45" t="s">
        <v>82</v>
      </c>
      <c r="D39" s="45" t="s">
        <v>83</v>
      </c>
      <c r="E39" s="46" t="s">
        <v>87</v>
      </c>
      <c r="F39" s="254" t="s">
        <v>88</v>
      </c>
      <c r="G39" s="46" t="s">
        <v>89</v>
      </c>
      <c r="H39" s="46" t="s">
        <v>21</v>
      </c>
    </row>
    <row r="40" spans="1:8">
      <c r="A40" s="199">
        <v>38777</v>
      </c>
      <c r="B40" s="81">
        <v>102.5</v>
      </c>
      <c r="C40" s="255">
        <v>136.01</v>
      </c>
      <c r="D40" s="255">
        <v>131.18</v>
      </c>
      <c r="E40" s="256">
        <f t="shared" ref="E40:E66" si="0">(B40/Grunnvísitala_vörubílar*Vísitala_Vægi_vörubílar+C40/Grunnvísitala_Vinnuvélar*Vísitala_vægi_vinnuvélar+D40/Grunnvísitala_Laun*Vísitala_vægi_laun-1)*100</f>
        <v>-9.5677905308400035E-3</v>
      </c>
      <c r="F40" s="257"/>
      <c r="G40" s="256"/>
      <c r="H40" s="256"/>
    </row>
    <row r="41" spans="1:8">
      <c r="A41" s="199">
        <v>38808</v>
      </c>
      <c r="B41" s="82">
        <v>102.5</v>
      </c>
      <c r="C41" s="255">
        <v>136.41999999999999</v>
      </c>
      <c r="D41" s="255">
        <v>131.77000000000001</v>
      </c>
      <c r="E41" s="256">
        <f t="shared" si="0"/>
        <v>0.35043938307031119</v>
      </c>
      <c r="F41" s="257">
        <v>1.0024663</v>
      </c>
      <c r="G41" s="258">
        <f t="shared" ref="G41:G66" si="1">(F41-1)*100</f>
        <v>0.24663000000000324</v>
      </c>
      <c r="H41" s="259">
        <f t="shared" ref="H41:H66" si="2">IF(E41&gt;G41,E41-G41,0)</f>
        <v>0.10380938307030796</v>
      </c>
    </row>
    <row r="42" spans="1:8">
      <c r="A42" s="199">
        <v>38838</v>
      </c>
      <c r="B42" s="82">
        <v>102.5</v>
      </c>
      <c r="C42" s="255">
        <v>139.63</v>
      </c>
      <c r="D42" s="255">
        <v>135.1</v>
      </c>
      <c r="E42" s="256">
        <f t="shared" si="0"/>
        <v>2.4811603299856433</v>
      </c>
      <c r="F42" s="260">
        <f t="shared" ref="F42:F66" si="3">F41*Vísitöluviðmið_pr_mán.</f>
        <v>1.0049386826356901</v>
      </c>
      <c r="G42" s="258">
        <f t="shared" si="1"/>
        <v>0.49386826356900837</v>
      </c>
      <c r="H42" s="259">
        <f t="shared" si="2"/>
        <v>1.9872920664166349</v>
      </c>
    </row>
    <row r="43" spans="1:8">
      <c r="A43" s="199">
        <v>38869</v>
      </c>
      <c r="B43" s="83">
        <v>102.5</v>
      </c>
      <c r="C43" s="255">
        <v>143.22</v>
      </c>
      <c r="D43" s="255">
        <v>138.59</v>
      </c>
      <c r="E43" s="256">
        <f t="shared" si="0"/>
        <v>4.7391588952654162</v>
      </c>
      <c r="F43" s="260">
        <f t="shared" si="3"/>
        <v>1.0074171629086746</v>
      </c>
      <c r="G43" s="258">
        <f t="shared" si="1"/>
        <v>0.74171629086745572</v>
      </c>
      <c r="H43" s="259">
        <f t="shared" si="2"/>
        <v>3.9974426043979605</v>
      </c>
    </row>
    <row r="44" spans="1:8">
      <c r="A44" s="199">
        <v>38899</v>
      </c>
      <c r="B44" s="84">
        <v>102.5</v>
      </c>
      <c r="C44" s="84">
        <v>145.44</v>
      </c>
      <c r="D44" s="84">
        <v>141.94999999999999</v>
      </c>
      <c r="E44" s="256">
        <f t="shared" si="0"/>
        <v>6.7766947632711627</v>
      </c>
      <c r="F44" s="260">
        <f t="shared" si="3"/>
        <v>1.0099017558575563</v>
      </c>
      <c r="G44" s="258">
        <f t="shared" si="1"/>
        <v>0.99017558575562603</v>
      </c>
      <c r="H44" s="259">
        <f t="shared" si="2"/>
        <v>5.7865191775155367</v>
      </c>
    </row>
    <row r="45" spans="1:8">
      <c r="A45" s="199">
        <v>38930</v>
      </c>
      <c r="B45" s="81">
        <v>102.5</v>
      </c>
      <c r="C45" s="255">
        <v>153.69</v>
      </c>
      <c r="D45" s="255">
        <v>148.66</v>
      </c>
      <c r="E45" s="256">
        <f t="shared" si="0"/>
        <v>11.266651721664278</v>
      </c>
      <c r="F45" s="260">
        <f t="shared" si="3"/>
        <v>1.0123924765580279</v>
      </c>
      <c r="G45" s="258">
        <f t="shared" si="1"/>
        <v>1.2392476558027887</v>
      </c>
      <c r="H45" s="259">
        <f t="shared" si="2"/>
        <v>10.027404065861489</v>
      </c>
    </row>
    <row r="46" spans="1:8">
      <c r="A46" s="199">
        <v>38961</v>
      </c>
      <c r="B46" s="84">
        <v>102.96</v>
      </c>
      <c r="C46" s="85">
        <v>155.30000000000001</v>
      </c>
      <c r="D46" s="85">
        <v>148.38999999999999</v>
      </c>
      <c r="E46" s="256">
        <f t="shared" si="0"/>
        <v>11.367487446197998</v>
      </c>
      <c r="F46" s="260">
        <f t="shared" si="3"/>
        <v>1.0148893401229631</v>
      </c>
      <c r="G46" s="258">
        <f t="shared" si="1"/>
        <v>1.4889340122963057</v>
      </c>
      <c r="H46" s="259">
        <f t="shared" si="2"/>
        <v>9.8785534339016934</v>
      </c>
    </row>
    <row r="47" spans="1:8">
      <c r="A47" s="199">
        <v>38991</v>
      </c>
      <c r="B47" s="86">
        <v>104.73</v>
      </c>
      <c r="C47" s="261">
        <v>154.77000000000001</v>
      </c>
      <c r="D47" s="261">
        <v>147.06</v>
      </c>
      <c r="E47" s="256">
        <f t="shared" si="0"/>
        <v>10.858452295552379</v>
      </c>
      <c r="F47" s="260">
        <f t="shared" si="3"/>
        <v>1.0173923617025085</v>
      </c>
      <c r="G47" s="258">
        <f t="shared" si="1"/>
        <v>1.7392361702508463</v>
      </c>
      <c r="H47" s="259">
        <f t="shared" si="2"/>
        <v>9.1192161253015325</v>
      </c>
    </row>
    <row r="48" spans="1:8">
      <c r="A48" s="199">
        <v>39022</v>
      </c>
      <c r="B48" s="86">
        <v>105.44</v>
      </c>
      <c r="C48" s="261">
        <v>153.52000000000001</v>
      </c>
      <c r="D48" s="261">
        <v>146.13</v>
      </c>
      <c r="E48" s="256">
        <f t="shared" si="0"/>
        <v>10.328298063127672</v>
      </c>
      <c r="F48" s="260">
        <f t="shared" si="3"/>
        <v>1.0199015564841754</v>
      </c>
      <c r="G48" s="258">
        <f t="shared" si="1"/>
        <v>1.9901556484175353</v>
      </c>
      <c r="H48" s="259">
        <f t="shared" si="2"/>
        <v>8.3381424147101377</v>
      </c>
    </row>
    <row r="49" spans="1:8">
      <c r="A49" s="199">
        <v>39052</v>
      </c>
      <c r="B49" s="86">
        <v>105.98</v>
      </c>
      <c r="C49" s="255">
        <v>152.22</v>
      </c>
      <c r="D49" s="255">
        <v>144.69999999999999</v>
      </c>
      <c r="E49" s="256">
        <f t="shared" si="0"/>
        <v>9.500982783357248</v>
      </c>
      <c r="F49" s="260">
        <f t="shared" si="3"/>
        <v>1.0224169396929323</v>
      </c>
      <c r="G49" s="258">
        <f t="shared" si="1"/>
        <v>2.2416939692932347</v>
      </c>
      <c r="H49" s="259">
        <f t="shared" si="2"/>
        <v>7.2592888140640133</v>
      </c>
    </row>
    <row r="50" spans="1:8">
      <c r="A50" s="199">
        <v>39083</v>
      </c>
      <c r="B50" s="85">
        <v>106.51</v>
      </c>
      <c r="C50" s="262">
        <v>152.09</v>
      </c>
      <c r="D50" s="262">
        <v>144.47999999999999</v>
      </c>
      <c r="E50" s="256">
        <f t="shared" si="0"/>
        <v>9.4468274748924053</v>
      </c>
      <c r="F50" s="260">
        <f t="shared" si="3"/>
        <v>1.0249385265912971</v>
      </c>
      <c r="G50" s="258">
        <f t="shared" si="1"/>
        <v>2.4938526591297139</v>
      </c>
      <c r="H50" s="259">
        <f t="shared" si="2"/>
        <v>6.9529748157626914</v>
      </c>
    </row>
    <row r="51" spans="1:8">
      <c r="A51" s="199">
        <v>39114</v>
      </c>
      <c r="B51" s="85">
        <v>106.72</v>
      </c>
      <c r="C51" s="263">
        <v>153.44</v>
      </c>
      <c r="D51" s="263">
        <v>147.69999999999999</v>
      </c>
      <c r="E51" s="256">
        <f t="shared" si="0"/>
        <v>11.34444404591104</v>
      </c>
      <c r="F51" s="260">
        <f t="shared" si="3"/>
        <v>1.0274663324794293</v>
      </c>
      <c r="G51" s="258">
        <f t="shared" si="1"/>
        <v>2.7466332479429312</v>
      </c>
      <c r="H51" s="259">
        <f t="shared" si="2"/>
        <v>8.5978107979681084</v>
      </c>
    </row>
    <row r="52" spans="1:8">
      <c r="A52" s="199">
        <v>39142</v>
      </c>
      <c r="B52" s="85">
        <v>106.65</v>
      </c>
      <c r="C52" s="264">
        <v>152.66</v>
      </c>
      <c r="D52" s="264">
        <v>147</v>
      </c>
      <c r="E52" s="256">
        <f t="shared" si="0"/>
        <v>10.874695121951227</v>
      </c>
      <c r="F52" s="260">
        <f t="shared" si="3"/>
        <v>1.0300003726952234</v>
      </c>
      <c r="G52" s="258">
        <f t="shared" si="1"/>
        <v>3.0000372695223376</v>
      </c>
      <c r="H52" s="259">
        <f t="shared" si="2"/>
        <v>7.8746578524288893</v>
      </c>
    </row>
    <row r="53" spans="1:8">
      <c r="A53" s="199">
        <v>39173</v>
      </c>
      <c r="B53" s="85">
        <v>110.44</v>
      </c>
      <c r="C53" s="264">
        <v>152.83000000000001</v>
      </c>
      <c r="D53" s="264">
        <v>145.96</v>
      </c>
      <c r="E53" s="256">
        <f t="shared" si="0"/>
        <v>10.893201219512205</v>
      </c>
      <c r="F53" s="260">
        <f t="shared" si="3"/>
        <v>1.0325406626144016</v>
      </c>
      <c r="G53" s="258">
        <f t="shared" si="1"/>
        <v>3.2540662614401583</v>
      </c>
      <c r="H53" s="259">
        <f t="shared" si="2"/>
        <v>7.6391349580720469</v>
      </c>
    </row>
    <row r="54" spans="1:8">
      <c r="A54" s="199">
        <v>39203</v>
      </c>
      <c r="B54" s="85">
        <v>110.73</v>
      </c>
      <c r="C54" s="262">
        <v>153.87</v>
      </c>
      <c r="D54" s="262">
        <v>146.36000000000001</v>
      </c>
      <c r="E54" s="256">
        <f t="shared" si="0"/>
        <v>11.26376076040172</v>
      </c>
      <c r="F54" s="260">
        <f t="shared" si="3"/>
        <v>1.0350872176506074</v>
      </c>
      <c r="G54" s="258">
        <f t="shared" si="1"/>
        <v>3.5087217650607405</v>
      </c>
      <c r="H54" s="259">
        <f t="shared" si="2"/>
        <v>7.7550389953409793</v>
      </c>
    </row>
    <row r="55" spans="1:8">
      <c r="A55" s="199">
        <v>39234</v>
      </c>
      <c r="B55" s="85">
        <v>111.05</v>
      </c>
      <c r="C55" s="262">
        <v>156.12</v>
      </c>
      <c r="D55" s="262">
        <v>147.69</v>
      </c>
      <c r="E55" s="256">
        <f t="shared" si="0"/>
        <v>12.268355451936873</v>
      </c>
      <c r="F55" s="260">
        <f t="shared" si="3"/>
        <v>1.0376400532554992</v>
      </c>
      <c r="G55" s="258">
        <f t="shared" si="1"/>
        <v>3.764005325549924</v>
      </c>
      <c r="H55" s="259">
        <f t="shared" si="2"/>
        <v>8.5043501263869494</v>
      </c>
    </row>
    <row r="56" spans="1:8">
      <c r="A56" s="199">
        <v>39264</v>
      </c>
      <c r="B56" s="85">
        <v>111.54</v>
      </c>
      <c r="C56" s="262">
        <v>158.03</v>
      </c>
      <c r="D56" s="262">
        <v>149.77000000000001</v>
      </c>
      <c r="E56" s="256">
        <f t="shared" si="0"/>
        <v>13.660480631276917</v>
      </c>
      <c r="F56" s="260">
        <f t="shared" si="3"/>
        <v>1.0401991849188432</v>
      </c>
      <c r="G56" s="258">
        <f t="shared" si="1"/>
        <v>4.0199184918843223</v>
      </c>
      <c r="H56" s="259">
        <f t="shared" si="2"/>
        <v>9.6405621393925944</v>
      </c>
    </row>
    <row r="57" spans="1:8">
      <c r="A57" s="199">
        <v>39295</v>
      </c>
      <c r="B57" s="85">
        <v>112.36</v>
      </c>
      <c r="C57" s="262">
        <v>158.16999999999999</v>
      </c>
      <c r="D57" s="262">
        <v>149.9</v>
      </c>
      <c r="E57" s="256">
        <f t="shared" si="0"/>
        <v>13.865281563845056</v>
      </c>
      <c r="F57" s="260">
        <f t="shared" si="3"/>
        <v>1.0427646281686087</v>
      </c>
      <c r="G57" s="258">
        <f t="shared" si="1"/>
        <v>4.2764628168608709</v>
      </c>
      <c r="H57" s="259">
        <f t="shared" si="2"/>
        <v>9.5888187469841846</v>
      </c>
    </row>
    <row r="58" spans="1:8">
      <c r="A58" s="199">
        <v>39326</v>
      </c>
      <c r="B58" s="85">
        <v>113.1</v>
      </c>
      <c r="C58" s="262">
        <v>158.43</v>
      </c>
      <c r="D58" s="262">
        <v>150.21</v>
      </c>
      <c r="E58" s="256">
        <f t="shared" si="0"/>
        <v>14.16764705882354</v>
      </c>
      <c r="F58" s="260">
        <f t="shared" si="3"/>
        <v>1.0453363985710611</v>
      </c>
      <c r="G58" s="258">
        <f t="shared" si="1"/>
        <v>4.5336398571061087</v>
      </c>
      <c r="H58" s="259">
        <f t="shared" si="2"/>
        <v>9.6340072017174307</v>
      </c>
    </row>
    <row r="59" spans="1:8">
      <c r="A59" s="199">
        <v>39356</v>
      </c>
      <c r="B59" s="85">
        <v>113.39</v>
      </c>
      <c r="C59" s="262">
        <v>159.19999999999999</v>
      </c>
      <c r="D59" s="262">
        <v>151</v>
      </c>
      <c r="E59" s="256">
        <f t="shared" si="0"/>
        <v>14.716506456241053</v>
      </c>
      <c r="F59" s="260">
        <f t="shared" si="3"/>
        <v>1.047914511730857</v>
      </c>
      <c r="G59" s="258">
        <f t="shared" si="1"/>
        <v>4.7914511730857035</v>
      </c>
      <c r="H59" s="259">
        <f t="shared" si="2"/>
        <v>9.9250552831553485</v>
      </c>
    </row>
    <row r="60" spans="1:8">
      <c r="A60" s="199">
        <v>39387</v>
      </c>
      <c r="B60" s="85">
        <v>113.39</v>
      </c>
      <c r="C60" s="262">
        <v>159.19999999999999</v>
      </c>
      <c r="D60" s="262">
        <v>151</v>
      </c>
      <c r="E60" s="256">
        <f t="shared" si="0"/>
        <v>14.716506456241053</v>
      </c>
      <c r="F60" s="260">
        <f t="shared" si="3"/>
        <v>1.0504989832911389</v>
      </c>
      <c r="G60" s="258">
        <f t="shared" si="1"/>
        <v>5.0498983291138888</v>
      </c>
      <c r="H60" s="259">
        <f t="shared" si="2"/>
        <v>9.666608127127164</v>
      </c>
    </row>
    <row r="61" spans="1:8">
      <c r="A61" s="199">
        <v>39417</v>
      </c>
      <c r="B61" s="85">
        <v>113.39</v>
      </c>
      <c r="C61" s="262">
        <v>159.19999999999999</v>
      </c>
      <c r="D61" s="262">
        <v>151</v>
      </c>
      <c r="E61" s="256">
        <f t="shared" si="0"/>
        <v>14.716506456241053</v>
      </c>
      <c r="F61" s="260">
        <f t="shared" si="3"/>
        <v>1.0530898289336299</v>
      </c>
      <c r="G61" s="258">
        <f t="shared" si="1"/>
        <v>5.3089828933629901</v>
      </c>
      <c r="H61" s="259">
        <f t="shared" si="2"/>
        <v>9.4075235628780618</v>
      </c>
    </row>
    <row r="62" spans="1:8">
      <c r="A62" s="199">
        <v>39448</v>
      </c>
      <c r="B62" s="85">
        <v>113.39</v>
      </c>
      <c r="C62" s="262">
        <v>159.19999999999999</v>
      </c>
      <c r="D62" s="262">
        <v>151</v>
      </c>
      <c r="E62" s="256">
        <f t="shared" si="0"/>
        <v>14.716506456241053</v>
      </c>
      <c r="F62" s="260">
        <f t="shared" si="3"/>
        <v>1.0556870643787291</v>
      </c>
      <c r="G62" s="258">
        <f t="shared" si="1"/>
        <v>5.5687064378729056</v>
      </c>
      <c r="H62" s="259">
        <f t="shared" si="2"/>
        <v>9.147800018368148</v>
      </c>
    </row>
    <row r="63" spans="1:8">
      <c r="A63" s="199">
        <v>39479</v>
      </c>
      <c r="B63" s="85">
        <v>113.39</v>
      </c>
      <c r="C63" s="262">
        <v>159.19999999999999</v>
      </c>
      <c r="D63" s="262">
        <v>151</v>
      </c>
      <c r="E63" s="256">
        <f t="shared" si="0"/>
        <v>14.716506456241053</v>
      </c>
      <c r="F63" s="260">
        <f t="shared" si="3"/>
        <v>1.0582907053856063</v>
      </c>
      <c r="G63" s="258">
        <f t="shared" si="1"/>
        <v>5.8290705385606323</v>
      </c>
      <c r="H63" s="259">
        <f t="shared" si="2"/>
        <v>8.8874359176804205</v>
      </c>
    </row>
    <row r="64" spans="1:8">
      <c r="A64" s="199">
        <v>39508</v>
      </c>
      <c r="B64" s="85">
        <v>113.39</v>
      </c>
      <c r="C64" s="262">
        <v>159.19999999999999</v>
      </c>
      <c r="D64" s="262">
        <v>151</v>
      </c>
      <c r="E64" s="256">
        <f t="shared" si="0"/>
        <v>14.716506456241053</v>
      </c>
      <c r="F64" s="260">
        <f t="shared" si="3"/>
        <v>1.0609007677522988</v>
      </c>
      <c r="G64" s="258">
        <f t="shared" si="1"/>
        <v>6.0900767752298801</v>
      </c>
      <c r="H64" s="259">
        <f t="shared" si="2"/>
        <v>8.6264296810111727</v>
      </c>
    </row>
    <row r="65" spans="1:8">
      <c r="A65" s="199">
        <v>39539</v>
      </c>
      <c r="B65" s="85">
        <v>113.39</v>
      </c>
      <c r="C65" s="262">
        <v>159.19999999999999</v>
      </c>
      <c r="D65" s="262">
        <v>151</v>
      </c>
      <c r="E65" s="256">
        <f t="shared" si="0"/>
        <v>14.716506456241053</v>
      </c>
      <c r="F65" s="260">
        <f t="shared" si="3"/>
        <v>1.0635172673158064</v>
      </c>
      <c r="G65" s="258">
        <f t="shared" si="1"/>
        <v>6.3517267315806425</v>
      </c>
      <c r="H65" s="259">
        <f t="shared" si="2"/>
        <v>8.3647797246604103</v>
      </c>
    </row>
    <row r="66" spans="1:8">
      <c r="A66" s="199">
        <v>39569</v>
      </c>
      <c r="B66" s="85">
        <v>113.39</v>
      </c>
      <c r="C66" s="262">
        <v>159.19999999999999</v>
      </c>
      <c r="D66" s="262">
        <v>151</v>
      </c>
      <c r="E66" s="256">
        <f t="shared" si="0"/>
        <v>14.716506456241053</v>
      </c>
      <c r="F66" s="260">
        <f t="shared" si="3"/>
        <v>1.0661402199521874</v>
      </c>
      <c r="G66" s="258">
        <f t="shared" si="1"/>
        <v>6.614021995218744</v>
      </c>
      <c r="H66" s="259">
        <f t="shared" si="2"/>
        <v>8.1024844610223088</v>
      </c>
    </row>
  </sheetData>
  <sheetProtection password="D042" sheet="1" objects="1" scenarios="1"/>
  <mergeCells count="5">
    <mergeCell ref="E19:F19"/>
    <mergeCell ref="A9:B9"/>
    <mergeCell ref="C9:I9"/>
    <mergeCell ref="A11:D11"/>
    <mergeCell ref="F7:G7"/>
  </mergeCells>
  <phoneticPr fontId="3" type="noConversion"/>
  <pageMargins left="0.75" right="0.75" top="1" bottom="1" header="0.5" footer="0.5"/>
  <pageSetup paperSize="9" scale="6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3.28515625" customWidth="1"/>
    <col min="3" max="3" width="12.85546875" bestFit="1" customWidth="1"/>
    <col min="4" max="4" width="13.5703125" customWidth="1"/>
    <col min="5" max="5" width="9.85546875" customWidth="1"/>
    <col min="6" max="6" width="11.42578125" customWidth="1"/>
    <col min="7" max="7" width="10.42578125" bestFit="1" customWidth="1"/>
    <col min="8" max="8" width="3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9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40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40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3"/>
      <c r="R7" s="283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287"/>
      <c r="K9" s="287"/>
      <c r="L9" s="287"/>
      <c r="M9" s="287"/>
      <c r="N9" s="163"/>
      <c r="O9" s="163" t="str">
        <f>D9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8'!E16</f>
        <v>0</v>
      </c>
      <c r="F16" s="8">
        <f>D16+'Reikningur 8'!F16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8'!E17</f>
        <v>0</v>
      </c>
      <c r="F17" s="8">
        <f>D17+'Reikningur 8'!F17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8'!E18</f>
        <v>0</v>
      </c>
      <c r="F18" s="8">
        <f>D18+'Reikningur 8'!F18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8'!E19</f>
        <v>0</v>
      </c>
      <c r="F19" s="8">
        <f>D19+'Reikningur 8'!F19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8'!E20</f>
        <v>0</v>
      </c>
      <c r="F20" s="8">
        <f>D20+'Reikningur 8'!F20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8'!E21</f>
        <v>0</v>
      </c>
      <c r="F21" s="8">
        <f>D21+'Reikningur 8'!F21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8'!E22</f>
        <v>0</v>
      </c>
      <c r="F22" s="8">
        <f>D22+'Reikningur 8'!F22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8'!E23</f>
        <v>0</v>
      </c>
      <c r="F23" s="8">
        <f>D23+'Reikningur 8'!F23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8'!E24</f>
        <v>0</v>
      </c>
      <c r="F24" s="8">
        <f>D24+'Reikningur 8'!F24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8'!F25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8'!B32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9'!G25*100+(100-'Reikningur 9'!G25*100)*Fast_gjald_hlutfall)/100)-(Fast_gjald_kr.+F25),(Fast_gjald_kr.+'Grunnur  '!$G$23*(('Reikningur 9'!G25*100+(100-200)*Fast_gjald_hlutfall+(200-'Reikningur 9'!G25*100)*0.1)/100)-(Fast_gjald_kr.+F25)))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H33" s="78"/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(Fast_gjald_kr./Fast_gjald_fjöldi_gjalddaga)*9</f>
        <v>#DIV/0!</v>
      </c>
      <c r="C34" s="14" t="e">
        <f>'Reikningur 8'!B34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8'!B36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86614173228346458" right="0.55118110236220474" top="0.98425196850393704" bottom="0.59055118110236227" header="0.47244094488188981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28515625" customWidth="1"/>
    <col min="2" max="2" width="13.5703125" bestFit="1" customWidth="1"/>
    <col min="3" max="3" width="12.85546875" bestFit="1" customWidth="1"/>
    <col min="4" max="4" width="13.7109375" customWidth="1"/>
    <col min="5" max="5" width="10.42578125" bestFit="1" customWidth="1"/>
    <col min="6" max="6" width="12.28515625" customWidth="1"/>
    <col min="7" max="7" width="10.42578125" bestFit="1" customWidth="1"/>
    <col min="8" max="8" width="3.5703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10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41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41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3"/>
      <c r="R7" s="283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287"/>
      <c r="K9" s="287"/>
      <c r="L9" s="287"/>
      <c r="M9" s="287"/>
      <c r="N9" s="163"/>
      <c r="O9" s="163" t="str">
        <f>D9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62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9'!E16</f>
        <v>0</v>
      </c>
      <c r="F16" s="8">
        <f>D16+'Reikningur 9'!F16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9'!E17</f>
        <v>0</v>
      </c>
      <c r="F17" s="8">
        <f>D17+'Reikningur 9'!F17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9'!E18</f>
        <v>0</v>
      </c>
      <c r="F18" s="8">
        <f>D18+'Reikningur 9'!F18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9'!E19</f>
        <v>0</v>
      </c>
      <c r="F19" s="8">
        <f>D19+'Reikningur 9'!F19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9'!E20</f>
        <v>0</v>
      </c>
      <c r="F20" s="8">
        <f>D20+'Reikningur 9'!F20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9'!E21</f>
        <v>0</v>
      </c>
      <c r="F21" s="8">
        <f>D21+'Reikningur 9'!F21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9'!E22</f>
        <v>0</v>
      </c>
      <c r="F22" s="8">
        <f>D22+'Reikningur 9'!F22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9'!E23</f>
        <v>0</v>
      </c>
      <c r="F23" s="8">
        <f>D23+'Reikningur 9'!F23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9'!E24</f>
        <v>0</v>
      </c>
      <c r="F24" s="8">
        <f>D24+'Reikningur 9'!F24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9'!F25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9'!B32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10'!G25*100+(100-'Reikningur 10'!G25*100)*Fast_gjald_hlutfall)/100)-(Fast_gjald_kr.+F25),(Fast_gjald_kr.+'Grunnur  '!$G$23*(('Reikningur 10'!G25*100+(100-200)*Fast_gjald_hlutfall+(200-'Reikningur 10'!G25*100)*0.1)/100)-(Fast_gjald_kr.+F25)))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(Fast_gjald_kr./Fast_gjald_fjöldi_gjalddaga)*10</f>
        <v>#DIV/0!</v>
      </c>
      <c r="C34" s="14" t="e">
        <f>'Reikningur 9'!B34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9'!B36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82677165354330717" right="0.51181102362204722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4.5703125" customWidth="1"/>
    <col min="3" max="3" width="13.28515625" customWidth="1"/>
    <col min="4" max="4" width="13.42578125" customWidth="1"/>
    <col min="5" max="5" width="10" customWidth="1"/>
    <col min="6" max="6" width="11.28515625" customWidth="1"/>
    <col min="7" max="7" width="9.7109375" customWidth="1"/>
    <col min="8" max="8" width="3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11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42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42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8"/>
      <c r="R7" s="28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287"/>
      <c r="K9" s="287"/>
      <c r="L9" s="287"/>
      <c r="M9" s="287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10'!E16</f>
        <v>0</v>
      </c>
      <c r="F16" s="34">
        <f>D16+'Reikningur 10'!F16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10'!E17</f>
        <v>0</v>
      </c>
      <c r="F17" s="34">
        <f>D17+'Reikningur 10'!F17</f>
        <v>0</v>
      </c>
      <c r="G17" s="39" t="str">
        <f>IF(F17=0," ",E17/'Grunnur  '!C17)</f>
        <v xml:space="preserve"> </v>
      </c>
      <c r="H17" s="39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10'!E18</f>
        <v>0</v>
      </c>
      <c r="F18" s="34">
        <f>D18+'Reikningur 10'!F18</f>
        <v>0</v>
      </c>
      <c r="G18" s="39" t="str">
        <f>IF(F18=0," ",E18/'Grunnur  '!C18)</f>
        <v xml:space="preserve"> </v>
      </c>
      <c r="H18" s="39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10'!E19</f>
        <v>0</v>
      </c>
      <c r="F19" s="34">
        <f>D19+'Reikningur 10'!F19</f>
        <v>0</v>
      </c>
      <c r="G19" s="39" t="str">
        <f>IF(F19=0," ",E19/'Grunnur  '!C19)</f>
        <v xml:space="preserve"> </v>
      </c>
      <c r="H19" s="39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10'!E20</f>
        <v>0</v>
      </c>
      <c r="F20" s="34">
        <f>D20+'Reikningur 10'!F20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10'!E21</f>
        <v>0</v>
      </c>
      <c r="F21" s="34">
        <f>D21+'Reikningur 10'!F21</f>
        <v>0</v>
      </c>
      <c r="G21" s="39" t="str">
        <f>IF(F21=0," ",E21/'Grunnur  '!C21)</f>
        <v xml:space="preserve"> </v>
      </c>
      <c r="H21" s="39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10'!E22</f>
        <v>0</v>
      </c>
      <c r="F22" s="34">
        <f>D22+'Reikningur 10'!F22</f>
        <v>0</v>
      </c>
      <c r="G22" s="39" t="str">
        <f>IF(F22=0," ",E22/'Grunnur  '!C22)</f>
        <v xml:space="preserve"> </v>
      </c>
      <c r="H22" s="39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10'!E23</f>
        <v>0</v>
      </c>
      <c r="F23" s="34">
        <f>D23+'Reikningur 10'!F23</f>
        <v>0</v>
      </c>
      <c r="G23" s="39" t="str">
        <f>IF(F23=0," ",E23/'Grunnur  '!C23)</f>
        <v xml:space="preserve"> </v>
      </c>
      <c r="H23" s="39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10'!E24</f>
        <v>0</v>
      </c>
      <c r="F24" s="34">
        <f>D24+'Reikningur 10'!F24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53" t="s">
        <v>19</v>
      </c>
      <c r="B25" s="35"/>
      <c r="C25" s="35"/>
      <c r="D25" s="35">
        <f>SUM(D16:D24)</f>
        <v>0</v>
      </c>
      <c r="E25" s="35"/>
      <c r="F25" s="35">
        <f>SUM(F16:F24)</f>
        <v>0</v>
      </c>
      <c r="G25" s="54" t="e">
        <f>(F25/D14)/Heildarupphæð</f>
        <v>#DIV/0!</v>
      </c>
      <c r="H25" s="67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10'!F25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10'!B32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11'!G25*100+(100-'Reikningur 11'!G25*100)*Fast_gjald_hlutfall)/100)-(Fast_gjald_kr.+F25),(Fast_gjald_kr.+'Grunnur  '!$G$23*(('Reikningur 11'!G25*100+(100-200)*Fast_gjald_hlutfall+(200-'Reikningur 11'!G25*100)*0.1)/100)-(Fast_gjald_kr.+F25)))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(Fast_gjald_kr./Fast_gjald_fjöldi_gjalddaga)*11</f>
        <v>#DIV/0!</v>
      </c>
      <c r="C34" s="14" t="e">
        <f>'Reikningur 10'!B34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10'!B36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A7:D7"/>
    <mergeCell ref="E7:G7"/>
    <mergeCell ref="A9:C9"/>
    <mergeCell ref="Q3:R3"/>
    <mergeCell ref="Q7:R7"/>
    <mergeCell ref="N3:O3"/>
    <mergeCell ref="J9:M9"/>
    <mergeCell ref="Q16:R16"/>
    <mergeCell ref="Q12:R12"/>
    <mergeCell ref="N16:O16"/>
    <mergeCell ref="N14:O14"/>
    <mergeCell ref="J14:M14"/>
    <mergeCell ref="N12:O12"/>
  </mergeCells>
  <phoneticPr fontId="3" type="noConversion"/>
  <pageMargins left="0.9055118110236221" right="0.35433070866141736" top="0.6692913385826772" bottom="0.59055118110236227" header="0.59055118110236227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.140625" customWidth="1"/>
    <col min="2" max="2" width="12.85546875" customWidth="1"/>
    <col min="3" max="3" width="13.140625" style="9" customWidth="1"/>
    <col min="4" max="4" width="13" style="9" customWidth="1"/>
    <col min="5" max="5" width="10.42578125" style="9" customWidth="1"/>
    <col min="6" max="6" width="13.140625" style="9" customWidth="1"/>
    <col min="7" max="7" width="9.7109375" style="9" customWidth="1"/>
    <col min="8" max="8" width="3.5703125" style="9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C1"/>
      <c r="D1"/>
      <c r="E1"/>
      <c r="F1"/>
      <c r="G1"/>
      <c r="H1"/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C2"/>
      <c r="D2"/>
      <c r="E2"/>
      <c r="F2"/>
      <c r="G2"/>
      <c r="H2"/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C3"/>
      <c r="D3"/>
      <c r="E3"/>
      <c r="F3"/>
      <c r="G3"/>
      <c r="H3"/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C4"/>
      <c r="D4"/>
      <c r="E4"/>
      <c r="F4" s="122" t="s">
        <v>76</v>
      </c>
      <c r="G4" s="177">
        <v>12</v>
      </c>
      <c r="H4"/>
      <c r="I4" s="138"/>
      <c r="J4" s="138"/>
      <c r="K4" s="138"/>
      <c r="L4" s="138"/>
      <c r="M4" s="138"/>
      <c r="N4" s="139"/>
      <c r="O4" s="138"/>
      <c r="P4" s="138"/>
      <c r="Q4" s="138"/>
      <c r="R4" s="122" t="s">
        <v>43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43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C6"/>
      <c r="D6"/>
      <c r="E6"/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8"/>
      <c r="R7" s="28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C8"/>
      <c r="D8"/>
      <c r="E8"/>
      <c r="F8" s="116">
        <f>TYPE(G6)</f>
        <v>1</v>
      </c>
      <c r="G8" s="116" t="b">
        <f>IF(F8=2,IF(G25&lt;=100%,2,0))</f>
        <v>0</v>
      </c>
      <c r="H8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69</v>
      </c>
      <c r="B9" s="267"/>
      <c r="C9" s="267"/>
      <c r="D9" s="87" t="s">
        <v>70</v>
      </c>
      <c r="E9" s="88"/>
      <c r="F9" s="89"/>
      <c r="G9" s="89"/>
      <c r="H9" s="64"/>
      <c r="I9" s="164" t="str">
        <f>A9</f>
        <v xml:space="preserve">Tímabil: </v>
      </c>
      <c r="J9" s="181"/>
      <c r="K9" s="181"/>
      <c r="L9" s="181"/>
      <c r="M9" s="181"/>
      <c r="N9" s="163"/>
      <c r="O9" s="163" t="str">
        <f>D9</f>
        <v xml:space="preserve">Dagsetn. verkstöðu: </v>
      </c>
      <c r="P9" s="164"/>
      <c r="Q9" s="164"/>
      <c r="R9" s="164"/>
      <c r="T9" s="164" t="str">
        <f>$A$9</f>
        <v xml:space="preserve">Tímabil: </v>
      </c>
      <c r="U9" s="181"/>
      <c r="V9" s="181"/>
      <c r="W9" s="181"/>
      <c r="X9" s="181"/>
      <c r="Y9" s="163"/>
      <c r="Z9" s="163" t="str">
        <f>$D$9</f>
        <v xml:space="preserve">Dagsetn. verkstöðu: </v>
      </c>
      <c r="AA9" s="164"/>
      <c r="AB9" s="143"/>
      <c r="AC9" s="143"/>
    </row>
    <row r="10" spans="1:29">
      <c r="H10" s="70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31"/>
      <c r="D11" s="31"/>
      <c r="E11" s="31"/>
      <c r="F11" s="31"/>
      <c r="G11" s="31"/>
      <c r="H11" s="70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32" t="s">
        <v>4</v>
      </c>
      <c r="D12" s="32" t="s">
        <v>9</v>
      </c>
      <c r="E12" s="32" t="s">
        <v>59</v>
      </c>
      <c r="F12" s="32" t="s">
        <v>23</v>
      </c>
      <c r="G12" s="32" t="s">
        <v>13</v>
      </c>
      <c r="H12" s="68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32" t="s">
        <v>11</v>
      </c>
      <c r="D13" s="32" t="s">
        <v>20</v>
      </c>
      <c r="E13" s="32" t="s">
        <v>12</v>
      </c>
      <c r="F13" s="32" t="s">
        <v>12</v>
      </c>
      <c r="G13" s="32" t="s">
        <v>12</v>
      </c>
      <c r="H13" s="3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36"/>
      <c r="D14" s="37">
        <f>1-Fast_gjald_hlutfall</f>
        <v>1</v>
      </c>
      <c r="E14" s="33"/>
      <c r="F14" s="33"/>
      <c r="G14" s="33"/>
      <c r="H14" s="68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11'!E16</f>
        <v>0</v>
      </c>
      <c r="F16" s="34">
        <f>D16+'Reikningur 11'!F16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11'!E17</f>
        <v>0</v>
      </c>
      <c r="F17" s="34">
        <f>D17+'Reikningur 11'!F17</f>
        <v>0</v>
      </c>
      <c r="G17" s="39" t="e">
        <f>E17/'Grunnur  '!C17</f>
        <v>#DIV/0!</v>
      </c>
      <c r="H17" s="39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11'!E18</f>
        <v>0</v>
      </c>
      <c r="F18" s="34">
        <f>D18+'Reikningur 11'!F18</f>
        <v>0</v>
      </c>
      <c r="G18" s="39" t="str">
        <f>IF(F18=0," ",E18/'Grunnur  '!C18)</f>
        <v xml:space="preserve"> </v>
      </c>
      <c r="H18" s="39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11'!E19</f>
        <v>0</v>
      </c>
      <c r="F19" s="34">
        <f>D19+'Reikningur 11'!F19</f>
        <v>0</v>
      </c>
      <c r="G19" s="39" t="str">
        <f>IF(F19=0," ",E19/'Grunnur  '!C19)</f>
        <v xml:space="preserve"> </v>
      </c>
      <c r="H19" s="39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11'!E20</f>
        <v>0</v>
      </c>
      <c r="F20" s="34">
        <f>D20+'Reikningur 11'!F20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11'!E21</f>
        <v>0</v>
      </c>
      <c r="F21" s="34">
        <f>D21+'Reikningur 11'!F21</f>
        <v>0</v>
      </c>
      <c r="G21" s="39" t="str">
        <f>IF(F21=0," ",E21/'Grunnur  '!C21)</f>
        <v xml:space="preserve"> </v>
      </c>
      <c r="H21" s="39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11'!E22</f>
        <v>0</v>
      </c>
      <c r="F22" s="34">
        <f>D22+'Reikningur 11'!F22</f>
        <v>0</v>
      </c>
      <c r="G22" s="39" t="str">
        <f>IF(F22=0," ",E22/'Grunnur  '!C22)</f>
        <v xml:space="preserve"> </v>
      </c>
      <c r="H22" s="39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11'!E23</f>
        <v>0</v>
      </c>
      <c r="F23" s="34">
        <f>D23+'Reikningur 11'!F23</f>
        <v>0</v>
      </c>
      <c r="G23" s="39" t="str">
        <f>IF(F23=0," ",E23/'Grunnur  '!C23)</f>
        <v xml:space="preserve"> </v>
      </c>
      <c r="H23" s="39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11'!E24</f>
        <v>0</v>
      </c>
      <c r="F24" s="34">
        <f>D24+'Reikningur 11'!F24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8" t="s">
        <v>19</v>
      </c>
      <c r="B25" s="23"/>
      <c r="C25" s="35"/>
      <c r="D25" s="35">
        <f>SUM(D16:D24)</f>
        <v>0</v>
      </c>
      <c r="E25" s="35"/>
      <c r="F25" s="35">
        <f>SUM(F16:F24)</f>
        <v>0</v>
      </c>
      <c r="G25" s="51" t="e">
        <f>(F25/D14)/Heildarupphæð</f>
        <v>#DIV/0!</v>
      </c>
      <c r="H25" s="69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38"/>
      <c r="D26" s="38"/>
      <c r="E26" s="34"/>
      <c r="F26" s="34"/>
      <c r="G26" s="34"/>
      <c r="H26" s="34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39"/>
      <c r="H27" s="39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40">
        <f>'Reikningur 11'!F25</f>
        <v>0</v>
      </c>
      <c r="D31" s="40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40" t="e">
        <f>'Reikningur 11'!B32</f>
        <v>#DIV/0!</v>
      </c>
      <c r="D32" s="40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12'!G25*100+(100-'Reikningur 12'!G25*100)*Fast_gjald_hlutfall)/100)-(Fast_gjald_kr.+F25),(Fast_gjald_kr.+'Grunnur  '!$G$23*(('Reikningur 12'!G25*100+(100-200)*Fast_gjald_hlutfall+(200-'Reikningur 12'!G25*100)*0.1)/100)-(Fast_gjald_kr.+F25)))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52" t="e">
        <f>C31+C32</f>
        <v>#DIV/0!</v>
      </c>
      <c r="D33" s="52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(Fast_gjald_kr./Fast_gjald_fjöldi_gjalddaga)*12</f>
        <v>#DIV/0!</v>
      </c>
      <c r="C34" s="40" t="e">
        <f>'Reikningur 11'!B34</f>
        <v>#DIV/0!</v>
      </c>
      <c r="D34" s="40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40" t="e">
        <f>C33+C34</f>
        <v>#DIV/0!</v>
      </c>
      <c r="D35" s="40" t="e">
        <f>D33+D34</f>
        <v>#DIV/0!</v>
      </c>
      <c r="F35" s="34"/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40" t="e">
        <f>'Reikningur 11'!B36</f>
        <v>#DIV/0!</v>
      </c>
      <c r="D36" s="40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7" t="e">
        <f>C35+C36</f>
        <v>#DIV/0!</v>
      </c>
      <c r="D37" s="58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40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40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94488188976377963" right="0.35433070866141736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" customWidth="1"/>
    <col min="2" max="2" width="14" customWidth="1"/>
    <col min="3" max="3" width="13.85546875" customWidth="1"/>
    <col min="4" max="4" width="13.42578125" customWidth="1"/>
    <col min="5" max="5" width="10.5703125" bestFit="1" customWidth="1"/>
    <col min="6" max="6" width="11.42578125" customWidth="1"/>
    <col min="7" max="7" width="10.5703125" bestFit="1" customWidth="1"/>
    <col min="8" max="8" width="4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13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44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44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8"/>
      <c r="R7" s="28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12'!E16</f>
        <v>0</v>
      </c>
      <c r="F16" s="34">
        <f>D16+'Reikningur 12'!F16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12'!E17</f>
        <v>0</v>
      </c>
      <c r="F17" s="34">
        <f>D17+'Reikningur 12'!F17</f>
        <v>0</v>
      </c>
      <c r="G17" s="39" t="str">
        <f>IF(F17=0," ",E17/'Grunnur  '!C17)</f>
        <v xml:space="preserve"> </v>
      </c>
      <c r="H17" s="39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12'!E18</f>
        <v>0</v>
      </c>
      <c r="F18" s="34">
        <f>D18+'Reikningur 12'!F18</f>
        <v>0</v>
      </c>
      <c r="G18" s="39" t="str">
        <f>IF(F18=0," ",E18/'Grunnur  '!C18)</f>
        <v xml:space="preserve"> </v>
      </c>
      <c r="H18" s="39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12'!E19</f>
        <v>0</v>
      </c>
      <c r="F19" s="34">
        <f>D19+'Reikningur 12'!F19</f>
        <v>0</v>
      </c>
      <c r="G19" s="39" t="str">
        <f>IF(F19=0," ",E19/'Grunnur  '!C19)</f>
        <v xml:space="preserve"> </v>
      </c>
      <c r="H19" s="39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12'!E20</f>
        <v>0</v>
      </c>
      <c r="F20" s="34">
        <f>D20+'Reikningur 12'!F20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12'!E21</f>
        <v>0</v>
      </c>
      <c r="F21" s="34">
        <f>D21+'Reikningur 12'!F21</f>
        <v>0</v>
      </c>
      <c r="G21" s="39" t="str">
        <f>IF(F21=0," ",E21/'Grunnur  '!C21)</f>
        <v xml:space="preserve"> </v>
      </c>
      <c r="H21" s="39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12'!E22</f>
        <v>0</v>
      </c>
      <c r="F22" s="34">
        <f>D22+'Reikningur 12'!F22</f>
        <v>0</v>
      </c>
      <c r="G22" s="39" t="str">
        <f>IF(F22=0," ",E22/'Grunnur  '!C22)</f>
        <v xml:space="preserve"> </v>
      </c>
      <c r="H22" s="39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12'!E23</f>
        <v>0</v>
      </c>
      <c r="F23" s="34">
        <f>D23+'Reikningur 12'!F23</f>
        <v>0</v>
      </c>
      <c r="G23" s="39" t="str">
        <f>IF(F23=0," ",E23/'Grunnur  '!C23)</f>
        <v xml:space="preserve"> </v>
      </c>
      <c r="H23" s="39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12'!E24</f>
        <v>0</v>
      </c>
      <c r="F24" s="34">
        <f>D24+'Reikningur 12'!F24</f>
        <v>0</v>
      </c>
      <c r="G24" s="39" t="str">
        <f>IF(F24=0," ",E24/'Grunnur  '!C24)</f>
        <v xml:space="preserve"> </v>
      </c>
      <c r="H24" s="39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8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12'!F25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12'!B32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13'!G25*100+(100-'Reikningur 13'!G25*100)*Fast_gjald_hlutfall)/100)-(Fast_gjald_kr.+F25),(Fast_gjald_kr.+'Grunnur  '!$G$23*(('Reikningur 13'!G25*100+(100-200)*Fast_gjald_hlutfall+(200-'Reikningur 13'!G25*100)*0.1)/100)-(Fast_gjald_kr.+F25)))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(Fast_gjald_kr./Fast_gjald_fjöldi_gjalddaga)*13</f>
        <v>#DIV/0!</v>
      </c>
      <c r="C34" s="14" t="e">
        <f>'Reikningur 12'!B34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F35" s="10"/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12'!B36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74803149606299213" right="0.35433070866141736" top="0.78740157480314965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M8" sqref="M8"/>
    </sheetView>
  </sheetViews>
  <sheetFormatPr defaultRowHeight="12.75"/>
  <cols>
    <col min="1" max="1" width="25.42578125" customWidth="1"/>
    <col min="2" max="2" width="14.28515625" customWidth="1"/>
    <col min="3" max="3" width="13.5703125" customWidth="1"/>
    <col min="4" max="4" width="13" customWidth="1"/>
    <col min="5" max="5" width="9.5703125" customWidth="1"/>
    <col min="6" max="6" width="13.7109375" bestFit="1" customWidth="1"/>
    <col min="7" max="7" width="9.28515625" customWidth="1"/>
    <col min="8" max="8" width="5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14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32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32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8"/>
      <c r="R7" s="28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13'!E16</f>
        <v>0</v>
      </c>
      <c r="F16" s="34">
        <f>D16+'Reikningur 13'!F16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13'!E17</f>
        <v>0</v>
      </c>
      <c r="F17" s="34">
        <f>D17+'Reikningur 13'!F17</f>
        <v>0</v>
      </c>
      <c r="G17" s="39" t="str">
        <f>IF(F17=0," ",E17/'Grunnur  '!C17)</f>
        <v xml:space="preserve"> </v>
      </c>
      <c r="H17" s="39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13'!E18</f>
        <v>0</v>
      </c>
      <c r="F18" s="34">
        <f>D18+'Reikningur 13'!F18</f>
        <v>0</v>
      </c>
      <c r="G18" s="39" t="str">
        <f>IF(F18=0," ",E18/'Grunnur  '!C18)</f>
        <v xml:space="preserve"> </v>
      </c>
      <c r="H18" s="39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13'!E19</f>
        <v>0</v>
      </c>
      <c r="F19" s="34">
        <f>D19+'Reikningur 13'!F19</f>
        <v>0</v>
      </c>
      <c r="G19" s="39" t="str">
        <f>IF(F19=0," ",E19/'Grunnur  '!C19)</f>
        <v xml:space="preserve"> </v>
      </c>
      <c r="H19" s="39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13'!E20</f>
        <v>0</v>
      </c>
      <c r="F20" s="34">
        <f>D20+'Reikningur 13'!F20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132"/>
      <c r="O20" s="133"/>
      <c r="P20" s="97"/>
      <c r="Q20" s="125"/>
      <c r="R20" s="126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13'!E21</f>
        <v>0</v>
      </c>
      <c r="F21" s="34">
        <f>D21+'Reikningur 13'!F21</f>
        <v>0</v>
      </c>
      <c r="G21" s="39" t="str">
        <f>IF(F21=0," ",E21/'Grunnur  '!C21)</f>
        <v xml:space="preserve"> </v>
      </c>
      <c r="H21" s="39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13'!E22</f>
        <v>0</v>
      </c>
      <c r="F22" s="34">
        <f>D22+'Reikningur 13'!F22</f>
        <v>0</v>
      </c>
      <c r="G22" s="39" t="str">
        <f>IF(F22=0," ",E22/'Grunnur  '!C22)</f>
        <v xml:space="preserve"> </v>
      </c>
      <c r="H22" s="39"/>
      <c r="I22" s="97"/>
      <c r="J22" s="127"/>
      <c r="K22" s="128"/>
      <c r="L22" s="128"/>
      <c r="M22" s="129"/>
      <c r="N22" s="130"/>
      <c r="O22" s="131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13'!E23</f>
        <v>0</v>
      </c>
      <c r="F23" s="34">
        <f>D23+'Reikningur 13'!F23</f>
        <v>0</v>
      </c>
      <c r="G23" s="39" t="str">
        <f>IF(F23=0," ",E23/'Grunnur  '!C23)</f>
        <v xml:space="preserve"> </v>
      </c>
      <c r="H23" s="39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59">
        <f>Biðtími_vörubíll_einv</f>
        <v>0</v>
      </c>
      <c r="D24" s="34">
        <f t="shared" si="0"/>
        <v>0</v>
      </c>
      <c r="E24" s="59">
        <f>B24+'Reikningur 13'!E24</f>
        <v>0</v>
      </c>
      <c r="F24" s="59">
        <f>D24+'Reikningur 13'!F24</f>
        <v>0</v>
      </c>
      <c r="G24" s="39" t="str">
        <f>IF(F24=0," ",E24/'Grunnur  '!C24)</f>
        <v xml:space="preserve"> </v>
      </c>
      <c r="H24" s="71"/>
      <c r="I24" s="102"/>
      <c r="J24" s="103"/>
      <c r="K24" s="104"/>
      <c r="L24" s="103"/>
      <c r="M24" s="105"/>
      <c r="N24" s="132"/>
      <c r="O24" s="133"/>
      <c r="P24" s="97"/>
      <c r="Q24" s="125"/>
      <c r="R24" s="126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3" t="s">
        <v>19</v>
      </c>
      <c r="B25" s="24"/>
      <c r="C25" s="23"/>
      <c r="D25" s="25">
        <f>SUM(D16:D24)</f>
        <v>0</v>
      </c>
      <c r="E25" s="24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127"/>
      <c r="K26" s="128"/>
      <c r="L26" s="128"/>
      <c r="M26" s="129"/>
      <c r="N26" s="130"/>
      <c r="O26" s="131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132"/>
      <c r="O28" s="133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127"/>
      <c r="K30" s="128"/>
      <c r="L30" s="128"/>
      <c r="M30" s="129"/>
      <c r="N30" s="130"/>
      <c r="O30" s="131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13'!F25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13'!B32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14'!G25*100+(100-'Reikningur 14'!G25*100)*Fast_gjald_hlutfall)/100)-(Fast_gjald_kr.+F25),(Fast_gjald_kr.+'Grunnur  '!$G$23*(('Reikningur 14'!G25*100+(100-200)*Fast_gjald_hlutfall+(200-'Reikningur 14'!G25*100)*0.1)/100)-(Fast_gjald_kr.+F25)))</f>
        <v>#DIV/0!</v>
      </c>
      <c r="I32" s="102"/>
      <c r="J32" s="103"/>
      <c r="K32" s="104"/>
      <c r="L32" s="103"/>
      <c r="M32" s="105"/>
      <c r="N32" s="132"/>
      <c r="O32" s="133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(Fast_gjald_kr./Fast_gjald_fjöldi_gjalddaga)*14</f>
        <v>#DIV/0!</v>
      </c>
      <c r="C34" s="14" t="e">
        <f>'Reikningur 13'!B34</f>
        <v>#DIV/0!</v>
      </c>
      <c r="D34" s="14" t="e">
        <f>B34-C34</f>
        <v>#DIV/0!</v>
      </c>
      <c r="I34" s="97"/>
      <c r="J34" s="127"/>
      <c r="K34" s="128"/>
      <c r="L34" s="128"/>
      <c r="M34" s="129"/>
      <c r="N34" s="130"/>
      <c r="O34" s="131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13'!B36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132"/>
      <c r="O36" s="133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127"/>
      <c r="K38" s="128"/>
      <c r="L38" s="128"/>
      <c r="M38" s="129"/>
      <c r="N38" s="130"/>
      <c r="O38" s="131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132"/>
      <c r="O40" s="133"/>
      <c r="P40" s="97"/>
      <c r="Q40" s="125"/>
      <c r="R40" s="126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127"/>
      <c r="K42" s="128"/>
      <c r="L42" s="128"/>
      <c r="M42" s="129"/>
      <c r="N42" s="130"/>
      <c r="O42" s="131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08"/>
      <c r="O44" s="209"/>
      <c r="P44" s="97"/>
      <c r="Q44" s="206"/>
      <c r="R44" s="207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03"/>
      <c r="K46" s="204"/>
      <c r="L46" s="204"/>
      <c r="M46" s="205"/>
      <c r="N46" s="201"/>
      <c r="O46" s="202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08"/>
      <c r="O48" s="209"/>
      <c r="P48" s="97"/>
      <c r="Q48" s="206"/>
      <c r="R48" s="207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03"/>
      <c r="K50" s="204"/>
      <c r="L50" s="204"/>
      <c r="M50" s="205"/>
      <c r="N50" s="201"/>
      <c r="O50" s="202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08"/>
      <c r="O52" s="209"/>
      <c r="P52" s="97"/>
      <c r="Q52" s="206"/>
      <c r="R52" s="207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03"/>
      <c r="K54" s="204"/>
      <c r="L54" s="204"/>
      <c r="M54" s="205"/>
      <c r="N54" s="201"/>
      <c r="O54" s="202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86614173228346458" right="0.35433070866141736" top="0.78740157480314965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35" sqref="B35"/>
    </sheetView>
  </sheetViews>
  <sheetFormatPr defaultRowHeight="12.75"/>
  <cols>
    <col min="1" max="1" width="25.42578125" customWidth="1"/>
    <col min="2" max="2" width="14.28515625" customWidth="1"/>
    <col min="3" max="3" width="13.5703125" customWidth="1"/>
    <col min="4" max="4" width="12.5703125" customWidth="1"/>
    <col min="5" max="5" width="9.5703125" customWidth="1"/>
    <col min="6" max="6" width="11.42578125" customWidth="1"/>
    <col min="7" max="7" width="9.85546875" customWidth="1"/>
    <col min="8" max="8" width="5.42578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5.71093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9.14062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15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71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71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200"/>
      <c r="I7" s="160" t="str">
        <f>'Grunnur  '!A7</f>
        <v xml:space="preserve">Verktaki:  </v>
      </c>
      <c r="J7" s="159"/>
      <c r="K7" s="159"/>
      <c r="L7" s="159"/>
      <c r="M7" s="211"/>
      <c r="N7" s="166"/>
      <c r="O7" s="166" t="str">
        <f>Kennitala</f>
        <v xml:space="preserve">kt: </v>
      </c>
      <c r="P7" s="159"/>
      <c r="Q7" s="288"/>
      <c r="R7" s="28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210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14'!E16</f>
        <v>0</v>
      </c>
      <c r="F16" s="34">
        <f>D16+'Reikningur 14'!F16</f>
        <v>0</v>
      </c>
      <c r="G16" s="39" t="str">
        <f>IF(F16=0," ",E16/'Grunnur  '!C16)</f>
        <v xml:space="preserve"> </v>
      </c>
      <c r="H16" s="39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14'!E17</f>
        <v>0</v>
      </c>
      <c r="F17" s="34">
        <f>D17+'Reikningur 14'!F17</f>
        <v>0</v>
      </c>
      <c r="G17" s="39" t="str">
        <f>IF(F17=0," ",E17/'Grunnur  '!C17)</f>
        <v xml:space="preserve"> </v>
      </c>
      <c r="H17" s="39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14'!E18</f>
        <v>0</v>
      </c>
      <c r="F18" s="34">
        <f>D18+'Reikningur 14'!F18</f>
        <v>0</v>
      </c>
      <c r="G18" s="39" t="str">
        <f>IF(F18=0," ",E18/'Grunnur  '!C18)</f>
        <v xml:space="preserve"> </v>
      </c>
      <c r="H18" s="39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14'!E19</f>
        <v>0</v>
      </c>
      <c r="F19" s="34">
        <f>D19+'Reikningur 14'!F19</f>
        <v>0</v>
      </c>
      <c r="G19" s="39" t="str">
        <f>IF(F19=0," ",E19/'Grunnur  '!C19)</f>
        <v xml:space="preserve"> </v>
      </c>
      <c r="H19" s="39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14'!E20</f>
        <v>0</v>
      </c>
      <c r="F20" s="34">
        <f>D20+'Reikningur 14'!F20</f>
        <v>0</v>
      </c>
      <c r="G20" s="39" t="str">
        <f>IF(F20=0," ",E20/'Grunnur  '!C20)</f>
        <v xml:space="preserve"> </v>
      </c>
      <c r="H20" s="39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14'!E21</f>
        <v>0</v>
      </c>
      <c r="F21" s="34">
        <f>D21+'Reikningur 14'!F21</f>
        <v>0</v>
      </c>
      <c r="G21" s="39" t="str">
        <f>IF(F21=0," ",E21/'Grunnur  '!C21)</f>
        <v xml:space="preserve"> </v>
      </c>
      <c r="H21" s="39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14'!E22</f>
        <v>0</v>
      </c>
      <c r="F22" s="34">
        <f>D22+'Reikningur 14'!F22</f>
        <v>0</v>
      </c>
      <c r="G22" s="39" t="str">
        <f>IF(F22=0," ",E22/'Grunnur  '!C22)</f>
        <v xml:space="preserve"> </v>
      </c>
      <c r="H22" s="39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14'!E23</f>
        <v>0</v>
      </c>
      <c r="F23" s="34">
        <f>D23+'Reikningur 14'!F23</f>
        <v>0</v>
      </c>
      <c r="G23" s="39" t="str">
        <f>IF(F23=0," ",E23/'Grunnur  '!C23)</f>
        <v xml:space="preserve"> </v>
      </c>
      <c r="H23" s="39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59">
        <f>Biðtími_vörubíll_einv</f>
        <v>0</v>
      </c>
      <c r="D24" s="34">
        <f t="shared" si="0"/>
        <v>0</v>
      </c>
      <c r="E24" s="59">
        <f>B24+'Reikningur 14'!E24</f>
        <v>0</v>
      </c>
      <c r="F24" s="59">
        <f>D24+'Reikningur 14'!F24</f>
        <v>0</v>
      </c>
      <c r="G24" s="39" t="str">
        <f>IF(F24=0," ",E24/'Grunnur  '!C24)</f>
        <v xml:space="preserve"> </v>
      </c>
      <c r="H24" s="71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3" t="s">
        <v>19</v>
      </c>
      <c r="B25" s="24"/>
      <c r="C25" s="23"/>
      <c r="D25" s="25">
        <f>SUM(D16:D24)</f>
        <v>0</v>
      </c>
      <c r="E25" s="24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14'!F25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14'!B32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15'!G25*100+(100-'Reikningur 15'!G25*100)*Fast_gjald_hlutfall)/100)-(Fast_gjald_kr.+F25),(Fast_gjald_kr.+'Grunnur  '!$G$23*(('Reikningur 15'!G25*100+(100-200)*Fast_gjald_hlutfall+(200-'Reikningur 15'!G25*100)*0.1)/100)-(Fast_gjald_kr.+F25)))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200" t="s">
        <v>14</v>
      </c>
      <c r="B34" s="14" t="e">
        <f>(Fast_gjald_kr./Fast_gjald_fjöldi_gjalddaga)*15</f>
        <v>#DIV/0!</v>
      </c>
      <c r="C34" s="14" t="e">
        <f>'Reikningur 14'!B34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200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200" t="s">
        <v>21</v>
      </c>
      <c r="B36" s="14" t="e">
        <f>D36+C36</f>
        <v>#DIV/0!</v>
      </c>
      <c r="C36" s="14" t="e">
        <f>'Reikningur 14'!B36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55" t="e">
        <f>B35+B36</f>
        <v>#DIV/0!</v>
      </c>
      <c r="C37" s="55" t="e">
        <f>C35+C36</f>
        <v>#DIV/0!</v>
      </c>
      <c r="D37" s="56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F38" t="s">
        <v>16</v>
      </c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7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N3:O3"/>
    <mergeCell ref="Q3:R3"/>
    <mergeCell ref="A5:B5"/>
    <mergeCell ref="C5:G5"/>
    <mergeCell ref="A7:D7"/>
    <mergeCell ref="E7:G7"/>
    <mergeCell ref="Q7:R7"/>
    <mergeCell ref="J18:M18"/>
    <mergeCell ref="N18:O18"/>
    <mergeCell ref="A9:C9"/>
    <mergeCell ref="N12:O12"/>
    <mergeCell ref="Q12:R12"/>
    <mergeCell ref="J14:M14"/>
    <mergeCell ref="N14:O14"/>
    <mergeCell ref="N16:O16"/>
    <mergeCell ref="Q16:R16"/>
  </mergeCells>
  <pageMargins left="0.9055118110236221" right="0.31496062992125984" top="0.74803149606299213" bottom="0.35433070866141736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topLeftCell="A7" workbookViewId="0">
      <selection activeCell="E7" sqref="E7"/>
    </sheetView>
  </sheetViews>
  <sheetFormatPr defaultRowHeight="12.75"/>
  <cols>
    <col min="1" max="1" width="25.28515625" customWidth="1"/>
    <col min="2" max="2" width="14" style="9" bestFit="1" customWidth="1"/>
    <col min="3" max="3" width="10.140625" bestFit="1" customWidth="1"/>
    <col min="4" max="4" width="13.140625" customWidth="1"/>
    <col min="5" max="5" width="9.85546875" customWidth="1"/>
    <col min="6" max="6" width="11.140625" bestFit="1" customWidth="1"/>
    <col min="7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6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74</v>
      </c>
      <c r="G4" s="219">
        <v>1</v>
      </c>
      <c r="R4" s="122" t="s">
        <v>30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30</v>
      </c>
    </row>
    <row r="5" spans="1:29" ht="15.75">
      <c r="A5" s="123" t="str">
        <f>'Grunnur  '!A5</f>
        <v xml:space="preserve">Heiti verks: </v>
      </c>
      <c r="B5" s="188"/>
      <c r="C5" s="123"/>
      <c r="D5" s="123"/>
      <c r="E5" s="123"/>
      <c r="F5" s="123"/>
      <c r="G5" s="123"/>
      <c r="H5" s="4"/>
      <c r="I5" s="123" t="str">
        <f>'Grunnur  '!A5</f>
        <v xml:space="preserve">Heiti verks: </v>
      </c>
      <c r="J5" s="123"/>
      <c r="K5" s="123"/>
      <c r="L5" s="123"/>
      <c r="M5" s="123"/>
      <c r="N5" s="123"/>
      <c r="O5" s="123"/>
      <c r="R5" s="122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124" t="str">
        <f>'Grunnur  '!A7:B7</f>
        <v xml:space="preserve">Verktaki:  </v>
      </c>
      <c r="B7" s="188"/>
      <c r="C7" s="124"/>
      <c r="D7" s="124"/>
      <c r="E7" s="134" t="str">
        <f>Kennitala</f>
        <v xml:space="preserve">kt: </v>
      </c>
      <c r="F7" s="134"/>
      <c r="G7" s="134"/>
      <c r="H7" s="4"/>
      <c r="I7" s="124" t="str">
        <f>'Grunnur  '!A7</f>
        <v xml:space="preserve">Verktaki:  </v>
      </c>
      <c r="P7" s="119" t="str">
        <f>Kennitala</f>
        <v xml:space="preserve">kt: </v>
      </c>
      <c r="Q7" s="119"/>
      <c r="R7" s="119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08">
        <f>TYPE(G6)</f>
        <v>1</v>
      </c>
      <c r="G8" s="109" t="b">
        <f>IF(F8=2,IF(G25&lt;=100%,2,0))</f>
        <v>0</v>
      </c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7" t="str">
        <f>A9</f>
        <v>Tímabil:</v>
      </c>
      <c r="J9" s="167"/>
      <c r="K9" s="167"/>
      <c r="L9" s="6"/>
      <c r="M9" s="6"/>
      <c r="N9" s="6"/>
      <c r="O9" s="87"/>
      <c r="P9" s="135" t="str">
        <f>D9</f>
        <v>Dagsetn. verkstöðu:</v>
      </c>
      <c r="Q9" s="6"/>
      <c r="R9" s="6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60"/>
      <c r="J10" s="60"/>
      <c r="K10" s="60"/>
      <c r="L10" s="60"/>
      <c r="M10" s="60"/>
      <c r="N10" s="61"/>
      <c r="O10" s="60"/>
      <c r="P10" s="60"/>
      <c r="Q10" s="60"/>
      <c r="R10" s="60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31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32" t="s">
        <v>61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32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33"/>
      <c r="C14" s="21"/>
      <c r="D14" s="22">
        <f>1 - 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117"/>
      <c r="C15" s="9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</f>
        <v>0</v>
      </c>
      <c r="F16" s="34">
        <f>D16</f>
        <v>0</v>
      </c>
      <c r="G16" s="13" t="str">
        <f>IF(B16=0,"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 t="shared" ref="E17:E24" si="1">B17</f>
        <v>0</v>
      </c>
      <c r="F17" s="34">
        <f t="shared" ref="F17:F24" si="2">D17</f>
        <v>0</v>
      </c>
      <c r="G17" s="13" t="str">
        <f>IF(B17=0,"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 t="shared" si="1"/>
        <v>0</v>
      </c>
      <c r="F18" s="34">
        <f t="shared" si="2"/>
        <v>0</v>
      </c>
      <c r="G18" s="13" t="str">
        <f>IF(B18=0,"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 t="shared" si="1"/>
        <v>0</v>
      </c>
      <c r="F19" s="34">
        <f t="shared" si="2"/>
        <v>0</v>
      </c>
      <c r="G19" s="13" t="str">
        <f>IF(B19=0,"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 t="shared" si="1"/>
        <v>0</v>
      </c>
      <c r="F20" s="34">
        <f t="shared" si="2"/>
        <v>0</v>
      </c>
      <c r="G20" s="13" t="str">
        <f>IF(B20=0,"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 t="shared" si="1"/>
        <v>0</v>
      </c>
      <c r="F21" s="34">
        <f t="shared" si="2"/>
        <v>0</v>
      </c>
      <c r="G21" s="13" t="str">
        <f>IF(B21=0,"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 t="shared" si="1"/>
        <v>0</v>
      </c>
      <c r="F22" s="34">
        <f t="shared" si="2"/>
        <v>0</v>
      </c>
      <c r="G22" s="13" t="str">
        <f>IF(B22=0,"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 t="shared" si="1"/>
        <v>0</v>
      </c>
      <c r="F23" s="34">
        <f t="shared" si="2"/>
        <v>0</v>
      </c>
      <c r="G23" s="13" t="str">
        <f>IF(B23=0,"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 t="shared" si="1"/>
        <v>0</v>
      </c>
      <c r="F24" s="34">
        <f t="shared" si="2"/>
        <v>0</v>
      </c>
      <c r="G24" s="13" t="str">
        <f>IF(B24=0,"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35"/>
      <c r="C25" s="23"/>
      <c r="D25" s="3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34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B27" s="34"/>
      <c r="C27" s="11"/>
      <c r="D27" s="12"/>
      <c r="E27" s="10"/>
      <c r="F27" s="10"/>
      <c r="G27" s="10"/>
      <c r="H27" s="10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90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A29" s="7"/>
      <c r="B29" s="70"/>
      <c r="C29" s="7"/>
      <c r="D29" s="7"/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19" t="s">
        <v>9</v>
      </c>
      <c r="B30" s="33" t="s">
        <v>26</v>
      </c>
      <c r="C30" s="33" t="s">
        <v>27</v>
      </c>
      <c r="D30" s="33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00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40">
        <f>F25</f>
        <v>0</v>
      </c>
      <c r="C31" s="14"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>
        <v>0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1'!G25*100+(100-'Reikningur 1'!G25*100)*Fast_gjald_hlutfall)/100)-(Fast_gjald_kr.+F25),(Fast_gjald_kr.+'Grunnur  '!$G$23*(('Reikningur 1'!G25*100+(100-200)*Fast_gjald_hlutfall+(200-'Reikningur 1'!G25*100)*0.1)/100)-(Fast_gjald_kr.+F25)))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5" t="s">
        <v>77</v>
      </c>
      <c r="B33" s="52" t="e">
        <f>B31+B32</f>
        <v>#DIV/0!</v>
      </c>
      <c r="C33" s="14">
        <v>0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40" t="e">
        <f>(Fast_gjald_kr./Fast_gjald_fjöldi_gjalddaga)*1</f>
        <v>#DIV/0!</v>
      </c>
      <c r="C34" s="14">
        <v>0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40" t="e">
        <f>B33+B34</f>
        <v>#DIV/0!</v>
      </c>
      <c r="C35" s="14">
        <v>0</v>
      </c>
      <c r="D35" s="14" t="e">
        <f>B35-C35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40" t="e">
        <f>D36+C36</f>
        <v>#DIV/0!</v>
      </c>
      <c r="C36" s="14">
        <v>0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191" t="e">
        <f>SUM(B35:B36)</f>
        <v>#DIV/0!</v>
      </c>
      <c r="C37" s="48">
        <f t="shared" ref="C37" si="3">SUM(C35:C36)</f>
        <v>0</v>
      </c>
      <c r="D37" s="48" t="e">
        <f>SUM(D35:D36)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</sheetData>
  <sheetProtection password="D042" sheet="1" objects="1" scenarios="1"/>
  <mergeCells count="20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9:C9"/>
    <mergeCell ref="N18:O18"/>
    <mergeCell ref="J18:M18"/>
    <mergeCell ref="Q16:R16"/>
    <mergeCell ref="N16:O16"/>
    <mergeCell ref="N14:O14"/>
    <mergeCell ref="J14:M14"/>
    <mergeCell ref="Q12:R12"/>
    <mergeCell ref="N12:O12"/>
  </mergeCells>
  <phoneticPr fontId="3" type="noConversion"/>
  <pageMargins left="0.94488188976377963" right="0.35433070866141736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topLeftCell="A7" workbookViewId="0">
      <selection activeCell="C37" sqref="C37"/>
    </sheetView>
  </sheetViews>
  <sheetFormatPr defaultRowHeight="12.75"/>
  <cols>
    <col min="1" max="1" width="24.85546875" customWidth="1"/>
    <col min="2" max="2" width="12.7109375" customWidth="1"/>
    <col min="3" max="3" width="12" customWidth="1"/>
    <col min="4" max="4" width="13" customWidth="1"/>
    <col min="5" max="5" width="11" customWidth="1"/>
    <col min="6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5703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2</v>
      </c>
      <c r="R4" s="122" t="s">
        <v>33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33</v>
      </c>
    </row>
    <row r="5" spans="1:29" ht="15.75">
      <c r="A5" s="284" t="str">
        <f>'Reikningur 1'!A5:B5</f>
        <v xml:space="preserve">Heiti verks: </v>
      </c>
      <c r="B5" s="284"/>
      <c r="C5" s="284"/>
      <c r="D5" s="284"/>
      <c r="E5" s="284"/>
      <c r="F5" s="284"/>
      <c r="G5" s="284"/>
      <c r="H5" s="4"/>
      <c r="I5" s="123" t="str">
        <f>'Grunnur  '!A5</f>
        <v xml:space="preserve">Heiti verks: </v>
      </c>
      <c r="J5" s="123"/>
      <c r="K5" s="123"/>
      <c r="L5" s="123"/>
      <c r="M5" s="123"/>
      <c r="N5" s="123"/>
      <c r="O5" s="123"/>
      <c r="P5" s="137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7"/>
      <c r="J6" s="137"/>
      <c r="K6" s="137"/>
      <c r="L6" s="137"/>
      <c r="M6" s="137"/>
      <c r="N6" s="137"/>
      <c r="O6" s="137"/>
      <c r="P6" s="137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36" t="str">
        <f>'Grunnur  '!A7</f>
        <v xml:space="preserve">Verktaki:  </v>
      </c>
      <c r="J7" s="137"/>
      <c r="K7" s="137"/>
      <c r="L7" s="137"/>
      <c r="M7" s="137"/>
      <c r="N7" s="137"/>
      <c r="O7" s="136" t="str">
        <f>Kennitala</f>
        <v xml:space="preserve">kt: </v>
      </c>
      <c r="P7" s="136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37"/>
      <c r="J8" s="137"/>
      <c r="K8" s="137"/>
      <c r="L8" s="137"/>
      <c r="M8" s="137"/>
      <c r="N8" s="137"/>
      <c r="O8" s="137"/>
      <c r="P8" s="137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7" t="str">
        <f>A9</f>
        <v>Tímabil:</v>
      </c>
      <c r="J9" s="167"/>
      <c r="K9" s="167"/>
      <c r="L9" s="182"/>
      <c r="M9" s="183"/>
      <c r="N9" s="184"/>
      <c r="O9" s="167" t="str">
        <f>D9</f>
        <v>Dagsetn. verkstöðu:</v>
      </c>
      <c r="P9" s="182"/>
      <c r="Q9" s="6"/>
      <c r="R9" s="6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25</v>
      </c>
      <c r="C12" s="18" t="s">
        <v>4</v>
      </c>
      <c r="D12" s="18" t="s">
        <v>9</v>
      </c>
      <c r="E12" s="18" t="s">
        <v>58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8">
        <f t="shared" ref="D16:D22" si="0">C16*B16*$D$14</f>
        <v>0</v>
      </c>
      <c r="E16" s="8">
        <f>B16+'Reikningur 1'!E16</f>
        <v>0</v>
      </c>
      <c r="F16" s="8">
        <f>D16+'Reikningur 1'!F16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8">
        <f t="shared" si="0"/>
        <v>0</v>
      </c>
      <c r="E17" s="8">
        <f>B17+'Reikningur 1'!E17</f>
        <v>0</v>
      </c>
      <c r="F17" s="8">
        <f>D17+'Reikningur 1'!F17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8">
        <f t="shared" si="0"/>
        <v>0</v>
      </c>
      <c r="E18" s="8">
        <f>B18+'Reikningur 1'!E18</f>
        <v>0</v>
      </c>
      <c r="F18" s="8">
        <f>D18+'Reikningur 1'!F18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8">
        <f t="shared" si="0"/>
        <v>0</v>
      </c>
      <c r="E19" s="8">
        <f>B19+'Reikningur 1'!E19</f>
        <v>0</v>
      </c>
      <c r="F19" s="8">
        <f>D19+'Reikningur 1'!F19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8">
        <f t="shared" si="0"/>
        <v>0</v>
      </c>
      <c r="E20" s="8">
        <f>B20+'Reikningur 1'!E20</f>
        <v>0</v>
      </c>
      <c r="F20" s="8">
        <f>D20+'Reikningur 1'!F20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8">
        <f t="shared" si="0"/>
        <v>0</v>
      </c>
      <c r="E21" s="8">
        <f>B21+'Reikningur 1'!E21</f>
        <v>0</v>
      </c>
      <c r="F21" s="8">
        <f>D21+'Reikningur 1'!F21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8">
        <f t="shared" si="0"/>
        <v>0</v>
      </c>
      <c r="E22" s="8">
        <f>B22+'Reikningur 1'!E22</f>
        <v>0</v>
      </c>
      <c r="F22" s="8">
        <f>D22+'Reikningur 1'!F22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8">
        <f>C23*B23*$D$14</f>
        <v>0</v>
      </c>
      <c r="E23" s="8">
        <f>B23+'Reikningur 1'!E23</f>
        <v>0</v>
      </c>
      <c r="F23" s="8">
        <f>D23+'Reikningur 1'!F23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8">
        <f>C24*B24*$D$14</f>
        <v>0</v>
      </c>
      <c r="E24" s="8">
        <f>B24+'Reikningur 1'!E24</f>
        <v>0</v>
      </c>
      <c r="F24" s="8">
        <f>D24+'Reikningur 1'!F24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A29" s="41"/>
      <c r="B29" s="16"/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1'!F25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1'!B32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2'!G25*100+(100-'Reikningur 2'!G25*100)*Fast_gjald_hlutfall)/100)-(Fast_gjald_kr.+F25),(Fast_gjald_kr.+'Grunnur  '!$G$23*(('Reikningur 2'!G25*100+(100-200)*Fast_gjald_hlutfall+(200-'Reikningur 2'!G25*100)*0.1)/100)-(Fast_gjald_kr.+F25)))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(Fast_gjald_kr./Fast_gjald_fjöldi_gjalddaga)*2</f>
        <v>#DIV/0!</v>
      </c>
      <c r="C34" s="14" t="e">
        <f>'Reikningur 1'!B34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B35-C35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1'!B36</f>
        <v>#DIV/0!</v>
      </c>
      <c r="D36" s="14" t="e">
        <f>D35*B28</f>
        <v>#DIV/0!</v>
      </c>
      <c r="E36" s="221"/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 t="shared" ref="C37:D37" si="1">C35+C36</f>
        <v>#DIV/0!</v>
      </c>
      <c r="D37" s="48" t="e">
        <f t="shared" si="1"/>
        <v>#DIV/0!</v>
      </c>
      <c r="E37" s="221"/>
      <c r="F37" s="10"/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65"/>
      <c r="B39" s="265"/>
      <c r="C39" s="265"/>
      <c r="D39" s="265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 ht="15.75" customHeight="1">
      <c r="A41" s="5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 customHeight="1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 ht="15.75" customHeight="1">
      <c r="A43" s="5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 customHeight="1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 ht="15.75" customHeight="1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 customHeight="1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 ht="15.75" customHeight="1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</sheetData>
  <sheetProtection password="D042" sheet="1" objects="1" scenarios="1"/>
  <mergeCells count="23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7:D7"/>
    <mergeCell ref="E7:G7"/>
    <mergeCell ref="A9:C9"/>
    <mergeCell ref="A5:G5"/>
    <mergeCell ref="N18:O18"/>
    <mergeCell ref="J18:M18"/>
    <mergeCell ref="Q16:R16"/>
    <mergeCell ref="N16:O16"/>
    <mergeCell ref="N14:O14"/>
    <mergeCell ref="J14:M14"/>
    <mergeCell ref="Q12:R12"/>
    <mergeCell ref="N12:O12"/>
  </mergeCells>
  <phoneticPr fontId="3" type="noConversion"/>
  <pageMargins left="0.82677165354330717" right="0.35433070866141736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topLeftCell="A4" workbookViewId="0">
      <selection activeCell="B28" sqref="B28"/>
    </sheetView>
  </sheetViews>
  <sheetFormatPr defaultRowHeight="12.75"/>
  <cols>
    <col min="1" max="1" width="25.42578125" customWidth="1"/>
    <col min="2" max="2" width="13.5703125" style="9" bestFit="1" customWidth="1"/>
    <col min="3" max="3" width="11.85546875" style="9" customWidth="1"/>
    <col min="4" max="4" width="12.28515625" style="9" customWidth="1"/>
    <col min="5" max="5" width="10.85546875" style="9" customWidth="1"/>
    <col min="6" max="6" width="12" style="9" customWidth="1"/>
    <col min="7" max="7" width="10.42578125" bestFit="1" customWidth="1"/>
    <col min="8" max="8" width="3.28515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3.285156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B1"/>
      <c r="C1"/>
      <c r="D1"/>
      <c r="E1"/>
      <c r="F1"/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B2"/>
      <c r="C2"/>
      <c r="D2"/>
      <c r="E2"/>
      <c r="F2"/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B3"/>
      <c r="C3"/>
      <c r="D3"/>
      <c r="E3"/>
      <c r="F3"/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B4"/>
      <c r="C4"/>
      <c r="D4"/>
      <c r="E4"/>
      <c r="F4" s="122" t="s">
        <v>76</v>
      </c>
      <c r="G4" s="177">
        <v>3</v>
      </c>
      <c r="I4" s="138"/>
      <c r="J4" s="138"/>
      <c r="K4" s="138"/>
      <c r="L4" s="138"/>
      <c r="M4" s="138"/>
      <c r="N4" s="139"/>
      <c r="O4" s="138"/>
      <c r="P4" s="138"/>
      <c r="Q4" s="9"/>
      <c r="R4" s="122" t="s">
        <v>34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34</v>
      </c>
    </row>
    <row r="5" spans="1:29" ht="15.75">
      <c r="A5" s="284" t="str">
        <f>'Reikningur 1'!A5:B5</f>
        <v xml:space="preserve">Heiti verks: </v>
      </c>
      <c r="B5" s="284"/>
      <c r="C5" s="284"/>
      <c r="D5" s="284"/>
      <c r="E5" s="284"/>
      <c r="F5" s="284"/>
      <c r="G5" s="284"/>
      <c r="H5" s="4"/>
      <c r="I5" s="159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B6"/>
      <c r="C6"/>
      <c r="D6"/>
      <c r="E6"/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65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283"/>
      <c r="R7" s="283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B8"/>
      <c r="C8"/>
      <c r="D8"/>
      <c r="E8"/>
      <c r="F8" s="116">
        <f>TYPE(G6)</f>
        <v>1</v>
      </c>
      <c r="G8" s="116" t="b">
        <f>IF(F8=2,IF(G25&lt;=100%,2,0))</f>
        <v>0</v>
      </c>
      <c r="H8" s="7"/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31"/>
      <c r="C11" s="31"/>
      <c r="D11" s="31"/>
      <c r="E11" s="31"/>
      <c r="F11" s="31"/>
      <c r="G11" s="6"/>
      <c r="H11" s="7"/>
      <c r="I11" s="144" t="s">
        <v>46</v>
      </c>
      <c r="J11" s="145" t="s">
        <v>56</v>
      </c>
      <c r="K11" s="146" t="s">
        <v>47</v>
      </c>
      <c r="L11" s="145" t="s">
        <v>48</v>
      </c>
      <c r="M11" s="145" t="s">
        <v>49</v>
      </c>
      <c r="N11" s="147" t="s">
        <v>7</v>
      </c>
      <c r="O11" s="148"/>
      <c r="P11" s="145" t="s">
        <v>50</v>
      </c>
      <c r="Q11" s="149" t="s">
        <v>51</v>
      </c>
      <c r="R11" s="148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32" t="s">
        <v>53</v>
      </c>
      <c r="C12" s="32" t="s">
        <v>4</v>
      </c>
      <c r="D12" s="32" t="s">
        <v>9</v>
      </c>
      <c r="E12" s="32" t="s">
        <v>59</v>
      </c>
      <c r="F12" s="32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32" t="s">
        <v>10</v>
      </c>
      <c r="C13" s="32" t="s">
        <v>11</v>
      </c>
      <c r="D13" s="32" t="s">
        <v>20</v>
      </c>
      <c r="E13" s="32" t="s">
        <v>12</v>
      </c>
      <c r="F13" s="32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33"/>
      <c r="C14" s="36"/>
      <c r="D14" s="37">
        <f>1-Fast_gjald_hlutfall</f>
        <v>1</v>
      </c>
      <c r="E14" s="33"/>
      <c r="F14" s="33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117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34">
        <f>Smábíll_einv</f>
        <v>0</v>
      </c>
      <c r="D16" s="34">
        <f>C16*B16*$D$14</f>
        <v>0</v>
      </c>
      <c r="E16" s="34">
        <f>B16+'Reikningur 2'!E16</f>
        <v>0</v>
      </c>
      <c r="F16" s="34">
        <f>D16+'Reikningur 2'!F16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34">
        <f>Vörubíll_mokstur_einv</f>
        <v>0</v>
      </c>
      <c r="D17" s="34">
        <f t="shared" ref="D17:D24" si="0">C17*B17*$D$14</f>
        <v>0</v>
      </c>
      <c r="E17" s="34">
        <f>B17+'Reikningur 2'!E17</f>
        <v>0</v>
      </c>
      <c r="F17" s="34">
        <f>D17+'Reikningur 2'!F17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34">
        <f>Vörubíll_undirtönn_einv</f>
        <v>0</v>
      </c>
      <c r="D18" s="34">
        <f t="shared" si="0"/>
        <v>0</v>
      </c>
      <c r="E18" s="34">
        <f>B18+'Reikningur 2'!E18</f>
        <v>0</v>
      </c>
      <c r="F18" s="34">
        <f>D18+'Reikningur 2'!F18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34">
        <f>Vinnuvél_1_einv</f>
        <v>0</v>
      </c>
      <c r="D19" s="34">
        <f t="shared" si="0"/>
        <v>0</v>
      </c>
      <c r="E19" s="34">
        <f>B19+'Reikningur 2'!E19</f>
        <v>0</v>
      </c>
      <c r="F19" s="34">
        <f>D19+'Reikningur 2'!F19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34">
        <f>Vinnuvél_2_einv</f>
        <v>0</v>
      </c>
      <c r="D20" s="34">
        <f t="shared" si="0"/>
        <v>0</v>
      </c>
      <c r="E20" s="34">
        <f>B20+'Reikningur 2'!E20</f>
        <v>0</v>
      </c>
      <c r="F20" s="34">
        <f>D20+'Reikningur 2'!F20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34">
        <f>Vinnuvél_3_einv</f>
        <v>0</v>
      </c>
      <c r="D21" s="34">
        <f t="shared" si="0"/>
        <v>0</v>
      </c>
      <c r="E21" s="34">
        <f>B21+'Reikningur 2'!E21</f>
        <v>0</v>
      </c>
      <c r="F21" s="34">
        <f>D21+'Reikningur 2'!F21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34">
        <f>Vinnuvél_4_einv</f>
        <v>0</v>
      </c>
      <c r="D22" s="34">
        <f t="shared" si="0"/>
        <v>0</v>
      </c>
      <c r="E22" s="34">
        <f>B22+'Reikningur 2'!E22</f>
        <v>0</v>
      </c>
      <c r="F22" s="34">
        <f>D22+'Reikningur 2'!F22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34">
        <f>Biðtími_smábíll_einv</f>
        <v>0</v>
      </c>
      <c r="D23" s="34">
        <f t="shared" si="0"/>
        <v>0</v>
      </c>
      <c r="E23" s="34">
        <f>B23+'Reikningur 2'!E23</f>
        <v>0</v>
      </c>
      <c r="F23" s="34">
        <f>D23+'Reikningur 2'!F23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34">
        <f>Biðtími_vörubíll_einv</f>
        <v>0</v>
      </c>
      <c r="D24" s="34">
        <f t="shared" si="0"/>
        <v>0</v>
      </c>
      <c r="E24" s="34">
        <f>B24+'Reikningur 2'!E24</f>
        <v>0</v>
      </c>
      <c r="F24" s="34">
        <f>D24+'Reikningur 2'!F24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35"/>
      <c r="C25" s="35"/>
      <c r="D25" s="35">
        <f>SUM(D16:D24)</f>
        <v>0</v>
      </c>
      <c r="E25" s="35"/>
      <c r="F25" s="35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34"/>
      <c r="C26" s="38"/>
      <c r="D26" s="38"/>
      <c r="E26" s="34"/>
      <c r="F26" s="34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C28"/>
      <c r="D28"/>
      <c r="E28"/>
      <c r="F28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2'!F25</f>
        <v>0</v>
      </c>
      <c r="D31" s="14">
        <f>B31-C31</f>
        <v>0</v>
      </c>
      <c r="E31"/>
      <c r="F31"/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2'!B32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3'!G25*100+(100-'Reikningur 3'!G25*100)*Fast_gjald_hlutfall)/100)-(Fast_gjald_kr.+F25),(Fast_gjald_kr.+'Grunnur  '!$G$23*(('Reikningur 3'!G25*100+(100-200)*Fast_gjald_hlutfall+(200-'Reikningur 3'!G25*100)*0.1)/100)-(Fast_gjald_kr.+F25)))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E33"/>
      <c r="F33"/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(Fast_gjald_kr./Fast_gjald_fjöldi_gjalddaga)*3</f>
        <v>#DIV/0!</v>
      </c>
      <c r="C34" s="14" t="e">
        <f>'Reikningur 2'!B34</f>
        <v>#DIV/0!</v>
      </c>
      <c r="D34" s="14" t="e">
        <f>B34-C34</f>
        <v>#DIV/0!</v>
      </c>
      <c r="E34"/>
      <c r="F34"/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E35"/>
      <c r="F35"/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2'!B36</f>
        <v>#DIV/0!</v>
      </c>
      <c r="D36" s="14" t="e">
        <f>D35*B28</f>
        <v>#DIV/0!</v>
      </c>
      <c r="E36"/>
      <c r="F36"/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E37"/>
      <c r="F37"/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T51" s="240"/>
      <c r="U51" s="240"/>
      <c r="V51" s="241"/>
      <c r="W51" s="240"/>
      <c r="X51" s="240"/>
      <c r="Y51" s="242"/>
      <c r="Z51" s="240"/>
      <c r="AA51" s="240"/>
      <c r="AB51" s="240"/>
      <c r="AC51" s="240"/>
    </row>
    <row r="52" spans="9:29" ht="15.75">
      <c r="T52" s="243"/>
      <c r="U52" s="244"/>
      <c r="V52" s="244"/>
      <c r="W52" s="244"/>
      <c r="X52" s="245"/>
      <c r="Y52" s="246"/>
      <c r="Z52" s="246"/>
      <c r="AA52" s="247"/>
      <c r="AB52" s="248"/>
      <c r="AC52" s="248"/>
    </row>
    <row r="53" spans="9:29">
      <c r="T53" s="240"/>
      <c r="U53" s="240"/>
      <c r="V53" s="240"/>
      <c r="W53" s="240"/>
      <c r="X53" s="240"/>
      <c r="Y53" s="242"/>
      <c r="Z53" s="240"/>
      <c r="AA53" s="240"/>
      <c r="AB53" s="240"/>
      <c r="AC53" s="240"/>
    </row>
    <row r="54" spans="9:29" ht="15.75">
      <c r="T54" s="247"/>
      <c r="U54" s="249"/>
      <c r="V54" s="249"/>
      <c r="W54" s="249"/>
      <c r="X54" s="249"/>
      <c r="Y54" s="250"/>
      <c r="Z54" s="250"/>
      <c r="AA54" s="247"/>
      <c r="AB54" s="247"/>
      <c r="AC54" s="247"/>
    </row>
  </sheetData>
  <sheetProtection password="D042" sheet="1" objects="1" scenarios="1"/>
  <mergeCells count="26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5:G5"/>
    <mergeCell ref="N3:O3"/>
    <mergeCell ref="Q3:R3"/>
    <mergeCell ref="Q7:R7"/>
    <mergeCell ref="N18:O18"/>
    <mergeCell ref="J18:M18"/>
    <mergeCell ref="Q16:R16"/>
    <mergeCell ref="N16:O16"/>
    <mergeCell ref="N14:O14"/>
    <mergeCell ref="J14:M14"/>
    <mergeCell ref="Q12:R12"/>
    <mergeCell ref="N12:O12"/>
    <mergeCell ref="A7:D7"/>
    <mergeCell ref="E7:G7"/>
    <mergeCell ref="A9:C9"/>
  </mergeCells>
  <phoneticPr fontId="3" type="noConversion"/>
  <pageMargins left="0.86614173228346458" right="0.31496062992125984" top="0.86614173228346458" bottom="0.98425196850393704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>
      <selection activeCell="B16" sqref="B16"/>
    </sheetView>
  </sheetViews>
  <sheetFormatPr defaultRowHeight="12.75"/>
  <cols>
    <col min="1" max="1" width="25.42578125" customWidth="1"/>
    <col min="2" max="2" width="12.7109375" customWidth="1"/>
    <col min="3" max="3" width="12.85546875" bestFit="1" customWidth="1"/>
    <col min="4" max="4" width="13" customWidth="1"/>
    <col min="5" max="5" width="10.140625" customWidth="1"/>
    <col min="6" max="6" width="11" customWidth="1"/>
    <col min="7" max="7" width="9.28515625" customWidth="1"/>
    <col min="8" max="8" width="3.8554687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9" max="19" width="4.42578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4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35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35</v>
      </c>
    </row>
    <row r="5" spans="1:29" ht="15.75">
      <c r="A5" s="123" t="str">
        <f>'Reikningur 1'!A5:G5</f>
        <v xml:space="preserve">Heiti verks: </v>
      </c>
      <c r="B5" s="119"/>
      <c r="C5" s="120"/>
      <c r="D5" s="120"/>
      <c r="E5" s="120"/>
      <c r="F5" s="120"/>
      <c r="G5" s="120"/>
      <c r="H5" s="50"/>
      <c r="I5" s="156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4" t="str">
        <f>'Reikningur 1'!E7:G7</f>
        <v xml:space="preserve">kt: </v>
      </c>
      <c r="F7" s="284"/>
      <c r="G7" s="284"/>
      <c r="H7" s="4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283"/>
      <c r="R7" s="283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167" t="s">
        <v>31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4" t="s">
        <v>46</v>
      </c>
      <c r="J11" s="145" t="s">
        <v>56</v>
      </c>
      <c r="K11" s="146" t="s">
        <v>47</v>
      </c>
      <c r="L11" s="145" t="s">
        <v>48</v>
      </c>
      <c r="M11" s="145" t="s">
        <v>49</v>
      </c>
      <c r="N11" s="147" t="s">
        <v>7</v>
      </c>
      <c r="O11" s="148"/>
      <c r="P11" s="145" t="s">
        <v>50</v>
      </c>
      <c r="Q11" s="149" t="s">
        <v>51</v>
      </c>
      <c r="R11" s="148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18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3'!E16</f>
        <v>0</v>
      </c>
      <c r="F16" s="8">
        <f>D16+'Reikningur 3'!F16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3'!E17</f>
        <v>0</v>
      </c>
      <c r="F17" s="8">
        <f>D17+'Reikningur 3'!F17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289"/>
      <c r="C18" s="8">
        <f>Vörubíll_undirtönn_einv</f>
        <v>0</v>
      </c>
      <c r="D18" s="8">
        <f t="shared" si="0"/>
        <v>0</v>
      </c>
      <c r="E18" s="8">
        <f>B18+'Reikningur 3'!E18</f>
        <v>0</v>
      </c>
      <c r="F18" s="8">
        <f>D18+'Reikningur 3'!F18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3'!E19</f>
        <v>0</v>
      </c>
      <c r="F19" s="8">
        <f>D19+'Reikningur 3'!F19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3'!E20</f>
        <v>0</v>
      </c>
      <c r="F20" s="8">
        <f>D20+'Reikningur 3'!F20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3'!E21</f>
        <v>0</v>
      </c>
      <c r="F21" s="8">
        <f>D21+'Reikningur 3'!F21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3'!E22</f>
        <v>0</v>
      </c>
      <c r="F22" s="8">
        <f>D22+'Reikningur 3'!F22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3'!E23</f>
        <v>0</v>
      </c>
      <c r="F23" s="8">
        <f>D23+'Reikningur 3'!F23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3'!E24</f>
        <v>0</v>
      </c>
      <c r="F24" s="8">
        <f>D24+'Reikningur 3'!F24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3'!F25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3'!B32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4'!G25*100+(100-'Reikningur 4'!G25*100)*Fast_gjald_hlutfall)/100)-(Fast_gjald_kr.+F25),(Fast_gjald_kr.+'Grunnur  '!$G$23*(('Reikningur 4'!G25*100+(100-200)*Fast_gjald_hlutfall+(200-'Reikningur 4'!G25*100)*0.1)/100)-(Fast_gjald_kr.+F25)))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(Fast_gjald_kr./Fast_gjald_fjöldi_gjalddaga)*4</f>
        <v>#DIV/0!</v>
      </c>
      <c r="C34" s="14" t="e">
        <f>'Reikningur 3'!B34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3'!B36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T51" s="240"/>
      <c r="U51" s="240"/>
      <c r="V51" s="241"/>
      <c r="W51" s="240"/>
      <c r="X51" s="240"/>
      <c r="Y51" s="242"/>
      <c r="Z51" s="240"/>
      <c r="AA51" s="240"/>
      <c r="AB51" s="240"/>
      <c r="AC51" s="240"/>
    </row>
    <row r="52" spans="9:29" ht="15.75">
      <c r="T52" s="243"/>
      <c r="U52" s="244"/>
      <c r="V52" s="244"/>
      <c r="W52" s="244"/>
      <c r="X52" s="245"/>
      <c r="Y52" s="246"/>
      <c r="Z52" s="246"/>
      <c r="AA52" s="247"/>
      <c r="AB52" s="248"/>
      <c r="AC52" s="248"/>
    </row>
    <row r="53" spans="9:29">
      <c r="T53" s="240"/>
      <c r="U53" s="240"/>
      <c r="V53" s="240"/>
      <c r="W53" s="240"/>
      <c r="X53" s="240"/>
      <c r="Y53" s="242"/>
      <c r="Z53" s="240"/>
      <c r="AA53" s="240"/>
      <c r="AB53" s="240"/>
      <c r="AC53" s="240"/>
    </row>
    <row r="54" spans="9:29" ht="15.75">
      <c r="T54" s="247"/>
      <c r="U54" s="249"/>
      <c r="V54" s="249"/>
      <c r="W54" s="249"/>
      <c r="X54" s="249"/>
      <c r="Y54" s="250"/>
      <c r="Z54" s="250"/>
      <c r="AA54" s="247"/>
      <c r="AB54" s="247"/>
      <c r="AC54" s="247"/>
    </row>
  </sheetData>
  <sheetProtection password="D042" sheet="1" objects="1" scenarios="1"/>
  <mergeCells count="25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A7:D7"/>
    <mergeCell ref="E7:G7"/>
    <mergeCell ref="A9:C9"/>
    <mergeCell ref="N3:O3"/>
    <mergeCell ref="Q3:R3"/>
    <mergeCell ref="Q7:R7"/>
    <mergeCell ref="Q12:R12"/>
    <mergeCell ref="N12:O12"/>
    <mergeCell ref="N18:O18"/>
    <mergeCell ref="J18:M18"/>
    <mergeCell ref="Q16:R16"/>
    <mergeCell ref="N16:O16"/>
    <mergeCell ref="N14:O14"/>
    <mergeCell ref="J14:M14"/>
  </mergeCells>
  <phoneticPr fontId="3" type="noConversion"/>
  <pageMargins left="0.59055118110236227" right="0.35433070866141736" top="0.98425196850393704" bottom="0.78740157480314965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B17" sqref="B17"/>
    </sheetView>
  </sheetViews>
  <sheetFormatPr defaultRowHeight="12.75"/>
  <cols>
    <col min="1" max="1" width="25" customWidth="1"/>
    <col min="2" max="2" width="13.28515625" customWidth="1"/>
    <col min="3" max="3" width="12.42578125" customWidth="1"/>
    <col min="4" max="4" width="13.5703125" customWidth="1"/>
    <col min="5" max="5" width="11" customWidth="1"/>
    <col min="6" max="6" width="11.7109375" customWidth="1"/>
    <col min="7" max="7" width="10.42578125" bestFit="1" customWidth="1"/>
    <col min="8" max="8" width="4.57031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5</v>
      </c>
      <c r="I4" s="138"/>
      <c r="J4" s="138"/>
      <c r="K4" s="138"/>
      <c r="L4" s="138"/>
      <c r="M4" s="138"/>
      <c r="N4" s="139"/>
      <c r="O4" s="138"/>
      <c r="P4" s="138"/>
      <c r="Q4" s="170"/>
      <c r="R4" s="122" t="s">
        <v>36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36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6" t="str">
        <f>'Grunnur  '!A5</f>
        <v xml:space="preserve">Heiti verks: </v>
      </c>
      <c r="J5" s="158"/>
      <c r="K5" s="158"/>
      <c r="L5" s="158"/>
      <c r="M5" s="158"/>
      <c r="N5" s="178"/>
      <c r="O5" s="178"/>
      <c r="P5" s="156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38"/>
      <c r="K6" s="150"/>
      <c r="L6" s="138"/>
      <c r="M6" s="138"/>
      <c r="N6" s="139"/>
      <c r="O6" s="138"/>
      <c r="P6" s="138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3"/>
      <c r="K7" s="153"/>
      <c r="L7" s="153"/>
      <c r="M7" s="157"/>
      <c r="N7" s="165"/>
      <c r="O7" s="166" t="str">
        <f>Kennitala</f>
        <v xml:space="preserve">kt: </v>
      </c>
      <c r="P7" s="156"/>
      <c r="Q7" s="158"/>
      <c r="R7" s="158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H8" s="7"/>
      <c r="I8" s="138"/>
      <c r="J8" s="138"/>
      <c r="K8" s="138"/>
      <c r="L8" s="138"/>
      <c r="M8" s="138"/>
      <c r="N8" s="139"/>
      <c r="O8" s="138"/>
      <c r="P8" s="138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61"/>
      <c r="K9" s="161"/>
      <c r="L9" s="161"/>
      <c r="M9" s="161"/>
      <c r="N9" s="162"/>
      <c r="O9" s="163" t="str">
        <f>D9</f>
        <v>Dagsetn. verkstöðu:</v>
      </c>
      <c r="P9" s="143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4" t="s">
        <v>46</v>
      </c>
      <c r="J11" s="145" t="s">
        <v>56</v>
      </c>
      <c r="K11" s="146" t="s">
        <v>47</v>
      </c>
      <c r="L11" s="145" t="s">
        <v>48</v>
      </c>
      <c r="M11" s="145" t="s">
        <v>49</v>
      </c>
      <c r="N11" s="147" t="s">
        <v>7</v>
      </c>
      <c r="O11" s="148"/>
      <c r="P11" s="145" t="s">
        <v>50</v>
      </c>
      <c r="Q11" s="149" t="s">
        <v>51</v>
      </c>
      <c r="R11" s="148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4'!E16</f>
        <v>0</v>
      </c>
      <c r="F16" s="8">
        <f>D16+'Reikningur 4'!F16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>C17*B17*$D$14</f>
        <v>0</v>
      </c>
      <c r="E17" s="8">
        <f>B17+'Reikningur 4'!E17</f>
        <v>0</v>
      </c>
      <c r="F17" s="8">
        <f>D17+'Reikningur 4'!F17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ref="D18:D24" si="0">C18*B18*$D$14</f>
        <v>0</v>
      </c>
      <c r="E18" s="8">
        <f>B18+'Reikningur 4'!E18</f>
        <v>0</v>
      </c>
      <c r="F18" s="8">
        <f>D18+'Reikningur 4'!F18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4'!E19</f>
        <v>0</v>
      </c>
      <c r="F19" s="8">
        <f>D19+'Reikningur 4'!F19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4'!E20</f>
        <v>0</v>
      </c>
      <c r="F20" s="8">
        <f>D20+'Reikningur 4'!F20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4'!E21</f>
        <v>0</v>
      </c>
      <c r="F21" s="8">
        <f>D21+'Reikningur 4'!F21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4'!E22</f>
        <v>0</v>
      </c>
      <c r="F22" s="8">
        <f>D22+'Reikningur 4'!F22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4'!E23</f>
        <v>0</v>
      </c>
      <c r="F23" s="8">
        <f>D23+'Reikningur 4'!F23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4'!E24</f>
        <v>0</v>
      </c>
      <c r="F24" s="8">
        <f>D24+'Reikningur 4'!F24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4'!F25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4'!B32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5'!G25*100+(100-'Reikningur 5'!G25*100)*Fast_gjald_hlutfall)/100)-(Fast_gjald_kr.+F25),(Fast_gjald_kr.+'Grunnur  '!$G$23*(('Reikningur 5'!G25*100+(100-200)*Fast_gjald_hlutfall+(200-'Reikningur 5'!G25*100)*0.1)/100)-(Fast_gjald_kr.+F25)))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(Fast_gjald_kr./Fast_gjald_fjöldi_gjalddaga)*5</f>
        <v>#DIV/0!</v>
      </c>
      <c r="C34" s="14" t="e">
        <f>'Reikningur 4'!B34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4'!B36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C38" s="14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14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6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N18:O18"/>
    <mergeCell ref="J18:M18"/>
    <mergeCell ref="Q16:R16"/>
    <mergeCell ref="A7:D7"/>
    <mergeCell ref="E7:G7"/>
    <mergeCell ref="A9:C9"/>
    <mergeCell ref="Q12:R12"/>
    <mergeCell ref="Q3:R3"/>
    <mergeCell ref="N3:O3"/>
    <mergeCell ref="A5:B5"/>
    <mergeCell ref="C5:G5"/>
    <mergeCell ref="N16:O16"/>
    <mergeCell ref="N14:O14"/>
    <mergeCell ref="J14:M14"/>
    <mergeCell ref="N12:O12"/>
  </mergeCells>
  <phoneticPr fontId="3" type="noConversion"/>
  <pageMargins left="0.6692913385826772" right="0.59055118110236227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selection activeCell="F32" sqref="F32"/>
    </sheetView>
  </sheetViews>
  <sheetFormatPr defaultRowHeight="12.75"/>
  <cols>
    <col min="1" max="1" width="25" customWidth="1"/>
    <col min="2" max="2" width="13.7109375" bestFit="1" customWidth="1"/>
    <col min="3" max="4" width="13" bestFit="1" customWidth="1"/>
    <col min="5" max="5" width="10.85546875" customWidth="1"/>
    <col min="6" max="6" width="12.42578125" customWidth="1"/>
    <col min="7" max="7" width="10.5703125" bestFit="1" customWidth="1"/>
    <col min="8" max="8" width="4.710937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2" t="s">
        <v>1</v>
      </c>
      <c r="J1" s="138"/>
      <c r="K1" s="138"/>
      <c r="L1" s="138"/>
      <c r="M1" s="138"/>
      <c r="N1" s="139"/>
      <c r="O1" s="138"/>
      <c r="P1" s="138"/>
      <c r="Q1" s="138"/>
      <c r="R1" s="13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6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37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37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'!A5</f>
        <v xml:space="preserve">Heiti verks: </v>
      </c>
      <c r="J5" s="171"/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'!A7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171"/>
      <c r="R7" s="171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I8" s="170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A9</f>
        <v>Tímabil:</v>
      </c>
      <c r="J9" s="181"/>
      <c r="K9" s="181"/>
      <c r="L9" s="181"/>
      <c r="M9" s="181"/>
      <c r="N9" s="163"/>
      <c r="O9" s="163" t="str">
        <f>D9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41"/>
      <c r="J10" s="142"/>
      <c r="K10" s="175"/>
      <c r="L10" s="142"/>
      <c r="M10" s="142"/>
      <c r="N10" s="176"/>
      <c r="O10" s="142"/>
      <c r="P10" s="142"/>
      <c r="Q10" s="142"/>
      <c r="R10" s="140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45" t="s">
        <v>46</v>
      </c>
      <c r="J11" s="145" t="s">
        <v>56</v>
      </c>
      <c r="K11" s="146" t="s">
        <v>47</v>
      </c>
      <c r="L11" s="145" t="s">
        <v>48</v>
      </c>
      <c r="M11" s="145" t="s">
        <v>49</v>
      </c>
      <c r="N11" s="147" t="s">
        <v>7</v>
      </c>
      <c r="O11" s="148"/>
      <c r="P11" s="145" t="s">
        <v>50</v>
      </c>
      <c r="Q11" s="149" t="s">
        <v>51</v>
      </c>
      <c r="R11" s="148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03"/>
      <c r="K12" s="104"/>
      <c r="L12" s="103"/>
      <c r="M12" s="105"/>
      <c r="N12" s="236"/>
      <c r="O12" s="237"/>
      <c r="P12" s="97"/>
      <c r="Q12" s="234"/>
      <c r="R12" s="235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31"/>
      <c r="K14" s="232"/>
      <c r="L14" s="232"/>
      <c r="M14" s="233"/>
      <c r="N14" s="229"/>
      <c r="O14" s="230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5'!E16</f>
        <v>0</v>
      </c>
      <c r="F16" s="8">
        <f>D16+'Reikningur 5'!F16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36"/>
      <c r="O16" s="237"/>
      <c r="P16" s="97"/>
      <c r="Q16" s="234"/>
      <c r="R16" s="235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5'!E17</f>
        <v>0</v>
      </c>
      <c r="F17" s="8">
        <f>D17+'Reikningur 5'!F17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5'!E18</f>
        <v>0</v>
      </c>
      <c r="F18" s="8">
        <f>D18+'Reikningur 5'!F18</f>
        <v>0</v>
      </c>
      <c r="G18" s="13" t="str">
        <f>IF(F18=0," ",E18/'Grunnur  '!C18)</f>
        <v xml:space="preserve"> </v>
      </c>
      <c r="H18" s="13"/>
      <c r="I18" s="97"/>
      <c r="J18" s="231"/>
      <c r="K18" s="232"/>
      <c r="L18" s="232"/>
      <c r="M18" s="233"/>
      <c r="N18" s="229"/>
      <c r="O18" s="230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5'!E19</f>
        <v>0</v>
      </c>
      <c r="F19" s="8">
        <f>D19+'Reikningur 5'!F19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5'!E20</f>
        <v>0</v>
      </c>
      <c r="F20" s="8">
        <f>D20+'Reikningur 5'!F20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98"/>
      <c r="R20" s="106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5'!E21</f>
        <v>0</v>
      </c>
      <c r="F21" s="8">
        <f>D21+'Reikningur 5'!F21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5'!E22</f>
        <v>0</v>
      </c>
      <c r="F22" s="8">
        <f>D22+'Reikningur 5'!F22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5'!E23</f>
        <v>0</v>
      </c>
      <c r="F23" s="8">
        <f>D23+'Reikningur 5'!F23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5'!E24</f>
        <v>0</v>
      </c>
      <c r="F24" s="8">
        <f>D24+'Reikningur 5'!F24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98"/>
      <c r="R24" s="106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30" t="s">
        <v>19</v>
      </c>
      <c r="B25" s="24"/>
      <c r="C25" s="23"/>
      <c r="D25" s="25">
        <f>SUM(D16:D24)</f>
        <v>0</v>
      </c>
      <c r="E25" s="24"/>
      <c r="F25" s="24">
        <f>SUM(F16:F24)</f>
        <v>0</v>
      </c>
      <c r="G25" s="27" t="e">
        <f>(F25/D14)/Heildarupphæð</f>
        <v>#DIV/0!</v>
      </c>
      <c r="H25" s="66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5'!F25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5'!B32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6'!G25*100+(100-'Reikningur 6'!G25*100)*Fast_gjald_hlutfall)/100)-(Fast_gjald_kr.+F25),(Fast_gjald_kr.+'Grunnur  '!$G$23*(('Reikningur 6'!G25*100+(100-200)*Fast_gjald_hlutfall+(200-'Reikningur 6'!G25*100)*0.1)/100)-(Fast_gjald_kr.+F25)))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234"/>
      <c r="R32" s="235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(Fast_gjald_kr./Fast_gjald_fjöldi_gjalddaga)*6</f>
        <v>#DIV/0!</v>
      </c>
      <c r="C34" s="14" t="e">
        <f>'Reikningur 5'!B34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5'!B36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234"/>
      <c r="R36" s="235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18">
    <mergeCell ref="U14:X14"/>
    <mergeCell ref="Y14:Z14"/>
    <mergeCell ref="Y16:Z16"/>
    <mergeCell ref="AB16:AC16"/>
    <mergeCell ref="U18:X18"/>
    <mergeCell ref="Y18:Z18"/>
    <mergeCell ref="Y3:Z3"/>
    <mergeCell ref="AB3:AC3"/>
    <mergeCell ref="AB7:AC7"/>
    <mergeCell ref="Y12:Z12"/>
    <mergeCell ref="AB12:AC12"/>
    <mergeCell ref="Q3:R3"/>
    <mergeCell ref="A7:D7"/>
    <mergeCell ref="E7:G7"/>
    <mergeCell ref="A9:C9"/>
    <mergeCell ref="N3:O3"/>
    <mergeCell ref="A5:B5"/>
    <mergeCell ref="C5:G5"/>
  </mergeCells>
  <phoneticPr fontId="3" type="noConversion"/>
  <pageMargins left="0.74803149606299213" right="0.43307086614173229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8"/>
  <sheetViews>
    <sheetView workbookViewId="0">
      <selection activeCell="B17" sqref="B17"/>
    </sheetView>
  </sheetViews>
  <sheetFormatPr defaultRowHeight="12.75"/>
  <cols>
    <col min="1" max="1" width="25.28515625" customWidth="1"/>
    <col min="2" max="2" width="13.7109375" bestFit="1" customWidth="1"/>
    <col min="3" max="3" width="13" bestFit="1" customWidth="1"/>
    <col min="4" max="4" width="13.7109375" bestFit="1" customWidth="1"/>
    <col min="5" max="5" width="10.28515625" customWidth="1"/>
    <col min="6" max="6" width="13.7109375" bestFit="1" customWidth="1"/>
    <col min="7" max="7" width="10.5703125" bestFit="1" customWidth="1"/>
    <col min="8" max="8" width="4.140625" customWidth="1"/>
    <col min="9" max="9" width="10.42578125" customWidth="1"/>
    <col min="11" max="11" width="12.140625" customWidth="1"/>
    <col min="12" max="12" width="3.42578125" customWidth="1"/>
    <col min="13" max="13" width="8.85546875" customWidth="1"/>
    <col min="18" max="18" width="8.42578125" customWidth="1"/>
    <col min="19" max="19" width="9.42578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  <col min="30" max="30" width="4.7109375" customWidth="1"/>
  </cols>
  <sheetData>
    <row r="1" spans="1:29" ht="15.75">
      <c r="A1" s="2" t="s">
        <v>1</v>
      </c>
      <c r="I1" s="2" t="s">
        <v>1</v>
      </c>
      <c r="J1" s="110"/>
      <c r="K1" s="110"/>
      <c r="L1" s="110"/>
      <c r="M1" s="110"/>
      <c r="N1" s="111"/>
      <c r="O1" s="110"/>
      <c r="P1" s="110"/>
      <c r="Q1" s="110"/>
      <c r="R1" s="110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52"/>
      <c r="K3" s="153"/>
      <c r="L3" s="153"/>
      <c r="M3" s="154"/>
      <c r="N3" s="282"/>
      <c r="O3" s="282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7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38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38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9" t="str">
        <f>'Grunnur  '!$A$5</f>
        <v xml:space="preserve">Heiti verks: </v>
      </c>
      <c r="J5" s="171"/>
      <c r="K5" s="171"/>
      <c r="L5" s="171"/>
      <c r="M5" s="171"/>
      <c r="N5" s="179"/>
      <c r="O5" s="179"/>
      <c r="P5" s="159"/>
      <c r="Q5" s="156"/>
      <c r="R5" s="156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70"/>
      <c r="J6" s="170"/>
      <c r="K6" s="172"/>
      <c r="L6" s="170"/>
      <c r="M6" s="170"/>
      <c r="N6" s="173"/>
      <c r="O6" s="170"/>
      <c r="P6" s="170"/>
      <c r="Q6" s="138"/>
      <c r="R6" s="138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60" t="str">
        <f>'Grunnur  '!$A$7</f>
        <v xml:space="preserve">Verktaki:  </v>
      </c>
      <c r="J7" s="159"/>
      <c r="K7" s="159"/>
      <c r="L7" s="159"/>
      <c r="M7" s="174"/>
      <c r="N7" s="166"/>
      <c r="O7" s="166" t="str">
        <f>Kennitala</f>
        <v xml:space="preserve">kt: </v>
      </c>
      <c r="P7" s="159"/>
      <c r="Q7" s="283"/>
      <c r="R7" s="283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H8" s="7"/>
      <c r="I8" s="170"/>
      <c r="J8" s="170"/>
      <c r="K8" s="170"/>
      <c r="L8" s="170"/>
      <c r="M8" s="170"/>
      <c r="N8" s="173"/>
      <c r="O8" s="170"/>
      <c r="P8" s="170"/>
      <c r="Q8" s="138"/>
      <c r="R8" s="138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64" t="str">
        <f>$A$9</f>
        <v>Tímabil:</v>
      </c>
      <c r="J9" s="181"/>
      <c r="K9" s="181"/>
      <c r="L9" s="181"/>
      <c r="M9" s="181"/>
      <c r="N9" s="163"/>
      <c r="O9" s="163" t="str">
        <f>$D$9</f>
        <v>Dagsetn. verkstöðu:</v>
      </c>
      <c r="P9" s="164"/>
      <c r="Q9" s="143"/>
      <c r="R9" s="143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59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6'!E16</f>
        <v>0</v>
      </c>
      <c r="F16" s="8">
        <f>D16+'Reikningur 6'!F16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31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6'!E17</f>
        <v>0</v>
      </c>
      <c r="F17" s="8">
        <f>D17+'Reikningur 6'!F17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31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6'!E18</f>
        <v>0</v>
      </c>
      <c r="F18" s="8">
        <f>D18+'Reikningur 6'!F18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31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6'!E19</f>
        <v>0</v>
      </c>
      <c r="F19" s="8">
        <f>D19+'Reikningur 6'!F19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31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6'!E20</f>
        <v>0</v>
      </c>
      <c r="F20" s="8">
        <f>D20+'Reikningur 6'!F20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236"/>
      <c r="O20" s="237"/>
      <c r="P20" s="97"/>
      <c r="Q20" s="234"/>
      <c r="R20" s="235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31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6'!E21</f>
        <v>0</v>
      </c>
      <c r="F21" s="8">
        <f>D21+'Reikningur 6'!F21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31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6'!E22</f>
        <v>0</v>
      </c>
      <c r="F22" s="8">
        <f>D22+'Reikningur 6'!F22</f>
        <v>0</v>
      </c>
      <c r="G22" s="13" t="str">
        <f>IF(F22=0," ",E22/'Grunnur  '!C22)</f>
        <v xml:space="preserve"> </v>
      </c>
      <c r="H22" s="13"/>
      <c r="I22" s="97"/>
      <c r="J22" s="231"/>
      <c r="K22" s="232"/>
      <c r="L22" s="232"/>
      <c r="M22" s="233"/>
      <c r="N22" s="229"/>
      <c r="O22" s="230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31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6'!E23</f>
        <v>0</v>
      </c>
      <c r="F23" s="8">
        <f>D23+'Reikningur 6'!F23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31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6'!E24</f>
        <v>0</v>
      </c>
      <c r="F24" s="8">
        <f>D24+'Reikningur 6'!F24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236"/>
      <c r="O24" s="237"/>
      <c r="P24" s="97"/>
      <c r="Q24" s="234"/>
      <c r="R24" s="235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31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31" ht="16.5" thickTop="1">
      <c r="B26" s="10"/>
      <c r="C26" s="11"/>
      <c r="D26" s="12"/>
      <c r="E26" s="10"/>
      <c r="F26" s="10"/>
      <c r="G26" s="10"/>
      <c r="H26" s="10"/>
      <c r="I26" s="97"/>
      <c r="J26" s="231"/>
      <c r="K26" s="232"/>
      <c r="L26" s="232"/>
      <c r="M26" s="233"/>
      <c r="N26" s="229"/>
      <c r="O26" s="230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31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31" ht="15.75">
      <c r="A28" s="41" t="s">
        <v>22</v>
      </c>
      <c r="B28" s="107"/>
      <c r="I28" s="102"/>
      <c r="J28" s="103"/>
      <c r="K28" s="104"/>
      <c r="L28" s="103"/>
      <c r="M28" s="105"/>
      <c r="N28" s="236"/>
      <c r="O28" s="237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31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  <c r="AE29" t="s">
        <v>16</v>
      </c>
    </row>
    <row r="30" spans="1:31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231"/>
      <c r="K30" s="232"/>
      <c r="L30" s="232"/>
      <c r="M30" s="233"/>
      <c r="N30" s="229"/>
      <c r="O30" s="230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31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6'!F25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31" ht="15.75">
      <c r="A32" s="226" t="s">
        <v>78</v>
      </c>
      <c r="B32" s="40" t="e">
        <f>IF(E32&lt;=F32,E32,F32)</f>
        <v>#DIV/0!</v>
      </c>
      <c r="C32" s="14" t="e">
        <f>'Reikningur 6'!B32</f>
        <v>#DIV/0!</v>
      </c>
      <c r="D32" s="14" t="e">
        <f>B32-C32</f>
        <v>#DIV/0!</v>
      </c>
      <c r="E32" s="222" t="e">
        <f>'Grunnur  '!$G$23*Fast_gjald_hlutfall/Fast_gjald_fjöldi_gjalddaga*$G$4</f>
        <v>#DIV/0!</v>
      </c>
      <c r="F32" s="10" t="e">
        <f>IF(G25*100&lt;=200,(Fast_gjald_kr.+'Grunnur  '!$G$23*('Reikningur 7'!G25*100+(100-'Reikningur 7'!G25*100)*Fast_gjald_hlutfall)/100)-(Fast_gjald_kr.+F25),(Fast_gjald_kr.+'Grunnur  '!$G$23*(('Reikningur 7'!G25*100+(100-200)*Fast_gjald_hlutfall+(200-'Reikningur 7'!G25*100)*0.1)/100)-(Fast_gjald_kr.+F25)))</f>
        <v>#DIV/0!</v>
      </c>
      <c r="I32" s="102"/>
      <c r="J32" s="103"/>
      <c r="K32" s="104"/>
      <c r="L32" s="103"/>
      <c r="M32" s="105"/>
      <c r="N32" s="236"/>
      <c r="O32" s="237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(Fast_gjald_kr./Fast_gjald_fjöldi_gjalddaga)*7</f>
        <v>#DIV/0!</v>
      </c>
      <c r="C34" s="14" t="e">
        <f>'Reikningur 6'!B34</f>
        <v>#DIV/0!</v>
      </c>
      <c r="D34" s="14" t="e">
        <f>B34-C34</f>
        <v>#DIV/0!</v>
      </c>
      <c r="I34" s="97"/>
      <c r="J34" s="231"/>
      <c r="K34" s="232"/>
      <c r="L34" s="232"/>
      <c r="M34" s="233"/>
      <c r="N34" s="229"/>
      <c r="O34" s="230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6'!B36</f>
        <v>#DIV/0!</v>
      </c>
      <c r="D36" s="14" t="e">
        <f>D35*B28</f>
        <v>#DIV/0!</v>
      </c>
      <c r="I36" s="102"/>
      <c r="J36" s="103"/>
      <c r="K36" s="104"/>
      <c r="L36" s="103"/>
      <c r="M36" s="105"/>
      <c r="N36" s="236"/>
      <c r="O36" s="237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231"/>
      <c r="K38" s="232"/>
      <c r="L38" s="232"/>
      <c r="M38" s="233"/>
      <c r="N38" s="229"/>
      <c r="O38" s="230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I55" s="240"/>
      <c r="J55" s="240"/>
      <c r="K55" s="241"/>
      <c r="L55" s="240"/>
      <c r="M55" s="240"/>
      <c r="N55" s="242"/>
      <c r="O55" s="240"/>
      <c r="P55" s="240"/>
      <c r="Q55" s="240"/>
      <c r="R55" s="240"/>
      <c r="T55" s="240"/>
      <c r="U55" s="240"/>
      <c r="V55" s="241"/>
      <c r="W55" s="240"/>
      <c r="X55" s="240"/>
      <c r="Y55" s="242"/>
      <c r="Z55" s="240"/>
      <c r="AA55" s="240"/>
      <c r="AB55" s="240"/>
      <c r="AC55" s="240"/>
    </row>
    <row r="56" spans="9:29" ht="15.75">
      <c r="I56" s="243"/>
      <c r="J56" s="244"/>
      <c r="K56" s="244"/>
      <c r="L56" s="244"/>
      <c r="M56" s="245"/>
      <c r="N56" s="246"/>
      <c r="O56" s="246"/>
      <c r="P56" s="247"/>
      <c r="Q56" s="248"/>
      <c r="R56" s="248"/>
      <c r="T56" s="243"/>
      <c r="U56" s="244"/>
      <c r="V56" s="244"/>
      <c r="W56" s="244"/>
      <c r="X56" s="245"/>
      <c r="Y56" s="246"/>
      <c r="Z56" s="246"/>
      <c r="AA56" s="247"/>
      <c r="AB56" s="248"/>
      <c r="AC56" s="248"/>
    </row>
    <row r="57" spans="9:29">
      <c r="I57" s="240"/>
      <c r="J57" s="240"/>
      <c r="K57" s="240"/>
      <c r="L57" s="240"/>
      <c r="M57" s="240"/>
      <c r="N57" s="242"/>
      <c r="O57" s="240"/>
      <c r="P57" s="240"/>
      <c r="Q57" s="240"/>
      <c r="R57" s="240"/>
      <c r="T57" s="240"/>
      <c r="U57" s="240"/>
      <c r="V57" s="240"/>
      <c r="W57" s="240"/>
      <c r="X57" s="240"/>
      <c r="Y57" s="242"/>
      <c r="Z57" s="240"/>
      <c r="AA57" s="240"/>
      <c r="AB57" s="240"/>
      <c r="AC57" s="240"/>
    </row>
    <row r="58" spans="9:29" ht="15.75">
      <c r="I58" s="247"/>
      <c r="J58" s="249"/>
      <c r="K58" s="249"/>
      <c r="L58" s="249"/>
      <c r="M58" s="249"/>
      <c r="N58" s="250"/>
      <c r="O58" s="250"/>
      <c r="P58" s="247"/>
      <c r="Q58" s="247"/>
      <c r="R58" s="247"/>
      <c r="T58" s="247"/>
      <c r="U58" s="249"/>
      <c r="V58" s="249"/>
      <c r="W58" s="249"/>
      <c r="X58" s="249"/>
      <c r="Y58" s="250"/>
      <c r="Z58" s="250"/>
      <c r="AA58" s="247"/>
      <c r="AB58" s="247"/>
      <c r="AC58" s="247"/>
    </row>
  </sheetData>
  <sheetProtection password="D042" sheet="1" objects="1" scenarios="1"/>
  <mergeCells count="27">
    <mergeCell ref="Y16:Z16"/>
    <mergeCell ref="AB16:AC16"/>
    <mergeCell ref="U18:X18"/>
    <mergeCell ref="Y18:Z18"/>
    <mergeCell ref="AB3:AC3"/>
    <mergeCell ref="AB7:AC7"/>
    <mergeCell ref="Y12:Z12"/>
    <mergeCell ref="AB12:AC12"/>
    <mergeCell ref="U14:X14"/>
    <mergeCell ref="Y14:Z14"/>
    <mergeCell ref="Y3:Z3"/>
    <mergeCell ref="A5:B5"/>
    <mergeCell ref="C5:G5"/>
    <mergeCell ref="N18:O18"/>
    <mergeCell ref="J18:M18"/>
    <mergeCell ref="Q3:R3"/>
    <mergeCell ref="Q7:R7"/>
    <mergeCell ref="N3:O3"/>
    <mergeCell ref="Q16:R16"/>
    <mergeCell ref="A7:D7"/>
    <mergeCell ref="E7:G7"/>
    <mergeCell ref="A9:C9"/>
    <mergeCell ref="Q12:R12"/>
    <mergeCell ref="N16:O16"/>
    <mergeCell ref="N14:O14"/>
    <mergeCell ref="J14:M14"/>
    <mergeCell ref="N12:O12"/>
  </mergeCells>
  <phoneticPr fontId="3" type="noConversion"/>
  <pageMargins left="0.82677165354330717" right="0.23622047244094491" top="0.78740157480314965" bottom="0.39370078740157483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selection activeCell="B17" sqref="B17"/>
    </sheetView>
  </sheetViews>
  <sheetFormatPr defaultRowHeight="12.75"/>
  <cols>
    <col min="1" max="1" width="24.85546875" customWidth="1"/>
    <col min="2" max="2" width="13.5703125" bestFit="1" customWidth="1"/>
    <col min="3" max="3" width="12.85546875" bestFit="1" customWidth="1"/>
    <col min="4" max="4" width="12.28515625" bestFit="1" customWidth="1"/>
    <col min="5" max="5" width="10.28515625" customWidth="1"/>
    <col min="6" max="6" width="11.5703125" customWidth="1"/>
    <col min="7" max="7" width="10.42578125" bestFit="1" customWidth="1"/>
    <col min="8" max="8" width="3.85546875" customWidth="1"/>
    <col min="9" max="9" width="11.42578125" customWidth="1"/>
    <col min="11" max="11" width="12.140625" customWidth="1"/>
    <col min="12" max="12" width="3.42578125" customWidth="1"/>
    <col min="13" max="13" width="8.85546875" customWidth="1"/>
    <col min="19" max="19" width="5.5703125" customWidth="1"/>
    <col min="20" max="20" width="10.42578125" customWidth="1"/>
    <col min="22" max="22" width="12.140625" customWidth="1"/>
    <col min="23" max="23" width="3.42578125" customWidth="1"/>
    <col min="24" max="24" width="8.85546875" customWidth="1"/>
    <col min="29" max="29" width="7.140625" customWidth="1"/>
  </cols>
  <sheetData>
    <row r="1" spans="1:29" ht="15.75">
      <c r="A1" s="2" t="s">
        <v>1</v>
      </c>
      <c r="I1" s="177" t="s">
        <v>39</v>
      </c>
      <c r="J1" s="2" t="s">
        <v>1</v>
      </c>
      <c r="K1" s="168"/>
      <c r="L1" s="168"/>
      <c r="M1" s="168"/>
      <c r="N1" s="169"/>
      <c r="O1" s="168"/>
      <c r="P1" s="168"/>
      <c r="Q1" s="168"/>
      <c r="R1" s="168"/>
      <c r="T1" s="2" t="s">
        <v>1</v>
      </c>
      <c r="U1" s="110"/>
      <c r="V1" s="110"/>
      <c r="W1" s="110"/>
      <c r="X1" s="110"/>
      <c r="Y1" s="111"/>
      <c r="Z1" s="110"/>
      <c r="AA1" s="110"/>
      <c r="AB1" s="110"/>
      <c r="AC1" s="110"/>
    </row>
    <row r="2" spans="1:29">
      <c r="I2" s="138"/>
      <c r="J2" s="138"/>
      <c r="K2" s="150"/>
      <c r="L2" s="138"/>
      <c r="M2" s="138"/>
      <c r="N2" s="139"/>
      <c r="O2" s="138"/>
      <c r="P2" s="138"/>
      <c r="Q2" s="138"/>
      <c r="R2" s="138"/>
      <c r="T2" s="138"/>
      <c r="U2" s="138"/>
      <c r="V2" s="150"/>
      <c r="W2" s="138"/>
      <c r="X2" s="138"/>
      <c r="Y2" s="139"/>
      <c r="Z2" s="138"/>
      <c r="AA2" s="138"/>
      <c r="AB2" s="138"/>
      <c r="AC2" s="138"/>
    </row>
    <row r="3" spans="1:29" ht="18">
      <c r="A3" s="1" t="s">
        <v>0</v>
      </c>
      <c r="I3" s="1" t="s">
        <v>0</v>
      </c>
      <c r="J3" s="1" t="s">
        <v>0</v>
      </c>
      <c r="K3" s="153"/>
      <c r="L3" s="153"/>
      <c r="M3" s="154"/>
      <c r="N3" s="180"/>
      <c r="O3" s="180"/>
      <c r="P3" s="155"/>
      <c r="Q3" s="283"/>
      <c r="R3" s="283"/>
      <c r="T3" s="1" t="s">
        <v>0</v>
      </c>
      <c r="U3" s="152"/>
      <c r="V3" s="153"/>
      <c r="W3" s="153"/>
      <c r="X3" s="154"/>
      <c r="Y3" s="282"/>
      <c r="Z3" s="282"/>
      <c r="AA3" s="155"/>
      <c r="AB3" s="283"/>
      <c r="AC3" s="283"/>
    </row>
    <row r="4" spans="1:29" ht="15.75">
      <c r="F4" s="122" t="s">
        <v>76</v>
      </c>
      <c r="G4" s="177">
        <v>8</v>
      </c>
      <c r="I4" s="138"/>
      <c r="J4" s="138"/>
      <c r="K4" s="138"/>
      <c r="L4" s="138"/>
      <c r="M4" s="138"/>
      <c r="N4" s="139"/>
      <c r="O4" s="138"/>
      <c r="P4" s="138"/>
      <c r="Q4" s="138"/>
      <c r="R4" s="122" t="s">
        <v>39</v>
      </c>
      <c r="T4" s="138"/>
      <c r="U4" s="138"/>
      <c r="V4" s="138"/>
      <c r="W4" s="138"/>
      <c r="X4" s="138"/>
      <c r="Y4" s="139"/>
      <c r="Z4" s="138"/>
      <c r="AA4" s="138"/>
      <c r="AB4" s="138"/>
      <c r="AC4" s="122" t="s">
        <v>39</v>
      </c>
    </row>
    <row r="5" spans="1:29" ht="15.75">
      <c r="A5" s="284" t="str">
        <f>'Reikningur 1'!A5:G5</f>
        <v xml:space="preserve">Heiti verks: </v>
      </c>
      <c r="B5" s="284"/>
      <c r="C5" s="286"/>
      <c r="D5" s="286"/>
      <c r="E5" s="286"/>
      <c r="F5" s="286"/>
      <c r="G5" s="286"/>
      <c r="H5" s="3"/>
      <c r="I5" s="156"/>
      <c r="J5" s="171" t="str">
        <f>'Grunnur  '!$A$5</f>
        <v xml:space="preserve">Heiti verks: </v>
      </c>
      <c r="K5" s="171"/>
      <c r="L5" s="171"/>
      <c r="M5" s="171"/>
      <c r="N5" s="179"/>
      <c r="O5" s="179"/>
      <c r="P5" s="159"/>
      <c r="Q5" s="159"/>
      <c r="R5" s="159"/>
      <c r="T5" s="159" t="str">
        <f>'Grunnur  '!$A$5</f>
        <v xml:space="preserve">Heiti verks: </v>
      </c>
      <c r="U5" s="171"/>
      <c r="V5" s="171"/>
      <c r="W5" s="171"/>
      <c r="X5" s="171"/>
      <c r="Y5" s="179"/>
      <c r="Z5" s="179"/>
      <c r="AA5" s="159"/>
      <c r="AB5" s="156"/>
      <c r="AC5" s="156"/>
    </row>
    <row r="6" spans="1:29" ht="15.75">
      <c r="F6" s="42"/>
      <c r="G6" s="121"/>
      <c r="H6" s="42"/>
      <c r="I6" s="138"/>
      <c r="J6" s="170"/>
      <c r="K6" s="172"/>
      <c r="L6" s="170"/>
      <c r="M6" s="170"/>
      <c r="N6" s="173"/>
      <c r="O6" s="170"/>
      <c r="P6" s="170"/>
      <c r="Q6" s="170"/>
      <c r="R6" s="170"/>
      <c r="T6" s="170"/>
      <c r="U6" s="170"/>
      <c r="V6" s="172"/>
      <c r="W6" s="170"/>
      <c r="X6" s="170"/>
      <c r="Y6" s="173"/>
      <c r="Z6" s="170"/>
      <c r="AA6" s="170"/>
      <c r="AB6" s="138"/>
      <c r="AC6" s="138"/>
    </row>
    <row r="7" spans="1:29" ht="15.75">
      <c r="A7" s="284" t="str">
        <f>'Reikningur 1'!A7:D7</f>
        <v xml:space="preserve">Verktaki:  </v>
      </c>
      <c r="B7" s="284"/>
      <c r="C7" s="284"/>
      <c r="D7" s="284"/>
      <c r="E7" s="285" t="str">
        <f>'Reikningur 1'!E7:G7</f>
        <v xml:space="preserve">kt: </v>
      </c>
      <c r="F7" s="285"/>
      <c r="G7" s="285"/>
      <c r="H7" s="4"/>
      <c r="I7" s="151"/>
      <c r="J7" s="159" t="str">
        <f>'Grunnur  '!$A$7</f>
        <v xml:space="preserve">Verktaki:  </v>
      </c>
      <c r="K7" s="159"/>
      <c r="L7" s="159"/>
      <c r="M7" s="174"/>
      <c r="N7" s="166"/>
      <c r="O7" s="166" t="str">
        <f>Kennitala</f>
        <v xml:space="preserve">kt: </v>
      </c>
      <c r="P7" s="159"/>
      <c r="Q7" s="171"/>
      <c r="R7" s="171"/>
      <c r="T7" s="160" t="str">
        <f>'Grunnur  '!$A$7</f>
        <v xml:space="preserve">Verktaki:  </v>
      </c>
      <c r="U7" s="159"/>
      <c r="V7" s="159"/>
      <c r="W7" s="159"/>
      <c r="X7" s="238"/>
      <c r="Y7" s="166"/>
      <c r="Z7" s="166" t="str">
        <f>Kennitala</f>
        <v xml:space="preserve">kt: </v>
      </c>
      <c r="AA7" s="159"/>
      <c r="AB7" s="283"/>
      <c r="AC7" s="283"/>
    </row>
    <row r="8" spans="1:29" ht="15">
      <c r="F8" s="116">
        <f>TYPE(G6)</f>
        <v>1</v>
      </c>
      <c r="G8" s="116" t="b">
        <f>IF(F8=2,IF(G25&lt;=100%,2,0))</f>
        <v>0</v>
      </c>
      <c r="H8" s="7"/>
      <c r="I8" s="138"/>
      <c r="J8" s="170"/>
      <c r="K8" s="170"/>
      <c r="L8" s="170"/>
      <c r="M8" s="170"/>
      <c r="N8" s="173"/>
      <c r="O8" s="170"/>
      <c r="P8" s="170"/>
      <c r="Q8" s="170"/>
      <c r="R8" s="170"/>
      <c r="T8" s="170"/>
      <c r="U8" s="170"/>
      <c r="V8" s="170"/>
      <c r="W8" s="170"/>
      <c r="X8" s="170"/>
      <c r="Y8" s="173"/>
      <c r="Z8" s="170"/>
      <c r="AA8" s="170"/>
      <c r="AB8" s="138"/>
      <c r="AC8" s="138"/>
    </row>
    <row r="9" spans="1:29" ht="15.75">
      <c r="A9" s="267" t="s">
        <v>2</v>
      </c>
      <c r="B9" s="267"/>
      <c r="C9" s="267"/>
      <c r="D9" s="87" t="s">
        <v>31</v>
      </c>
      <c r="E9" s="88"/>
      <c r="F9" s="89"/>
      <c r="G9" s="89"/>
      <c r="H9" s="64"/>
      <c r="I9" s="156"/>
      <c r="J9" s="181" t="str">
        <f>$A$9</f>
        <v>Tímabil:</v>
      </c>
      <c r="K9" s="181"/>
      <c r="L9" s="181"/>
      <c r="M9" s="181"/>
      <c r="N9" s="163"/>
      <c r="O9" s="163" t="str">
        <f>$D$9</f>
        <v>Dagsetn. verkstöðu:</v>
      </c>
      <c r="P9" s="164"/>
      <c r="Q9" s="164"/>
      <c r="R9" s="164"/>
      <c r="T9" s="164" t="str">
        <f>$A$9</f>
        <v>Tímabil:</v>
      </c>
      <c r="U9" s="181"/>
      <c r="V9" s="181"/>
      <c r="W9" s="181"/>
      <c r="X9" s="181"/>
      <c r="Y9" s="163"/>
      <c r="Z9" s="163" t="str">
        <f>$D$9</f>
        <v>Dagsetn. verkstöðu:</v>
      </c>
      <c r="AA9" s="164"/>
      <c r="AB9" s="143"/>
      <c r="AC9" s="143"/>
    </row>
    <row r="10" spans="1:29">
      <c r="H10" s="7"/>
      <c r="I10" s="138"/>
      <c r="J10" s="138"/>
      <c r="K10" s="150"/>
      <c r="L10" s="138"/>
      <c r="M10" s="138"/>
      <c r="N10" s="139"/>
      <c r="O10" s="138"/>
      <c r="P10" s="138"/>
      <c r="Q10" s="138"/>
      <c r="R10" s="138"/>
      <c r="T10" s="138"/>
      <c r="U10" s="138"/>
      <c r="V10" s="150"/>
      <c r="W10" s="138"/>
      <c r="X10" s="138"/>
      <c r="Y10" s="139"/>
      <c r="Z10" s="138"/>
      <c r="AA10" s="138"/>
      <c r="AB10" s="138"/>
      <c r="AC10" s="138"/>
    </row>
    <row r="11" spans="1:29">
      <c r="A11" s="6"/>
      <c r="B11" s="6"/>
      <c r="C11" s="6"/>
      <c r="D11" s="6"/>
      <c r="E11" s="6"/>
      <c r="F11" s="6"/>
      <c r="G11" s="6"/>
      <c r="H11" s="7"/>
      <c r="I11" s="112" t="s">
        <v>46</v>
      </c>
      <c r="J11" s="90" t="s">
        <v>56</v>
      </c>
      <c r="K11" s="101" t="s">
        <v>47</v>
      </c>
      <c r="L11" s="90" t="s">
        <v>48</v>
      </c>
      <c r="M11" s="90" t="s">
        <v>49</v>
      </c>
      <c r="N11" s="94" t="s">
        <v>7</v>
      </c>
      <c r="O11" s="93"/>
      <c r="P11" s="90" t="s">
        <v>50</v>
      </c>
      <c r="Q11" s="91" t="s">
        <v>51</v>
      </c>
      <c r="R11" s="93"/>
      <c r="T11" s="112" t="s">
        <v>46</v>
      </c>
      <c r="U11" s="90" t="s">
        <v>56</v>
      </c>
      <c r="V11" s="101" t="s">
        <v>47</v>
      </c>
      <c r="W11" s="90" t="s">
        <v>48</v>
      </c>
      <c r="X11" s="90" t="s">
        <v>49</v>
      </c>
      <c r="Y11" s="94" t="s">
        <v>7</v>
      </c>
      <c r="Z11" s="93"/>
      <c r="AA11" s="90" t="s">
        <v>50</v>
      </c>
      <c r="AB11" s="91" t="s">
        <v>51</v>
      </c>
      <c r="AC11" s="93"/>
    </row>
    <row r="12" spans="1:29" ht="15.75">
      <c r="A12" s="17"/>
      <c r="B12" s="18" t="s">
        <v>53</v>
      </c>
      <c r="C12" s="18" t="s">
        <v>4</v>
      </c>
      <c r="D12" s="18" t="s">
        <v>9</v>
      </c>
      <c r="E12" s="18" t="s">
        <v>60</v>
      </c>
      <c r="F12" s="18" t="s">
        <v>23</v>
      </c>
      <c r="G12" s="18" t="s">
        <v>13</v>
      </c>
      <c r="H12" s="62"/>
      <c r="I12" s="102"/>
      <c r="J12" s="113"/>
      <c r="K12" s="104"/>
      <c r="L12" s="103"/>
      <c r="M12" s="114"/>
      <c r="N12" s="280"/>
      <c r="O12" s="281"/>
      <c r="P12" s="115"/>
      <c r="Q12" s="276"/>
      <c r="R12" s="277"/>
      <c r="T12" s="102"/>
      <c r="U12" s="113"/>
      <c r="V12" s="104"/>
      <c r="W12" s="103"/>
      <c r="X12" s="114"/>
      <c r="Y12" s="280"/>
      <c r="Z12" s="281"/>
      <c r="AA12" s="115"/>
      <c r="AB12" s="276"/>
      <c r="AC12" s="277"/>
    </row>
    <row r="13" spans="1:29">
      <c r="A13" s="17" t="s">
        <v>3</v>
      </c>
      <c r="B13" s="18" t="s">
        <v>10</v>
      </c>
      <c r="C13" s="18" t="s">
        <v>11</v>
      </c>
      <c r="D13" s="18" t="s">
        <v>20</v>
      </c>
      <c r="E13" s="18" t="s">
        <v>12</v>
      </c>
      <c r="F13" s="18" t="s">
        <v>12</v>
      </c>
      <c r="G13" s="18" t="s">
        <v>12</v>
      </c>
      <c r="H13" s="62"/>
      <c r="I13" s="90" t="s">
        <v>55</v>
      </c>
      <c r="J13" s="91" t="s">
        <v>52</v>
      </c>
      <c r="K13" s="92"/>
      <c r="L13" s="92"/>
      <c r="M13" s="93"/>
      <c r="N13" s="94" t="s">
        <v>53</v>
      </c>
      <c r="O13" s="93"/>
      <c r="P13" s="91" t="s">
        <v>54</v>
      </c>
      <c r="Q13" s="95"/>
      <c r="R13" s="96"/>
      <c r="T13" s="90" t="s">
        <v>55</v>
      </c>
      <c r="U13" s="91" t="s">
        <v>52</v>
      </c>
      <c r="V13" s="92"/>
      <c r="W13" s="92"/>
      <c r="X13" s="93"/>
      <c r="Y13" s="94" t="s">
        <v>53</v>
      </c>
      <c r="Z13" s="93"/>
      <c r="AA13" s="91" t="s">
        <v>54</v>
      </c>
      <c r="AB13" s="95"/>
      <c r="AC13" s="96"/>
    </row>
    <row r="14" spans="1:29" ht="15.75">
      <c r="A14" s="19"/>
      <c r="B14" s="20"/>
      <c r="C14" s="21"/>
      <c r="D14" s="22">
        <f>1-Fast_gjald_hlutfall</f>
        <v>1</v>
      </c>
      <c r="E14" s="20"/>
      <c r="F14" s="20"/>
      <c r="G14" s="20"/>
      <c r="H14" s="62"/>
      <c r="I14" s="97"/>
      <c r="J14" s="273"/>
      <c r="K14" s="274"/>
      <c r="L14" s="274"/>
      <c r="M14" s="275"/>
      <c r="N14" s="271"/>
      <c r="O14" s="272"/>
      <c r="P14" s="98"/>
      <c r="Q14" s="99"/>
      <c r="R14" s="100"/>
      <c r="T14" s="97"/>
      <c r="U14" s="273"/>
      <c r="V14" s="274"/>
      <c r="W14" s="274"/>
      <c r="X14" s="275"/>
      <c r="Y14" s="271"/>
      <c r="Z14" s="272"/>
      <c r="AA14" s="98"/>
      <c r="AB14" s="99"/>
      <c r="AC14" s="100"/>
    </row>
    <row r="15" spans="1:29">
      <c r="A15" s="5"/>
      <c r="B15" s="77"/>
      <c r="D15" s="3"/>
      <c r="E15" s="3"/>
      <c r="F15" s="3"/>
      <c r="I15" s="90" t="s">
        <v>46</v>
      </c>
      <c r="J15" s="90" t="s">
        <v>56</v>
      </c>
      <c r="K15" s="101" t="s">
        <v>47</v>
      </c>
      <c r="L15" s="90" t="s">
        <v>48</v>
      </c>
      <c r="M15" s="90" t="s">
        <v>49</v>
      </c>
      <c r="N15" s="94" t="s">
        <v>7</v>
      </c>
      <c r="O15" s="93"/>
      <c r="P15" s="90" t="s">
        <v>50</v>
      </c>
      <c r="Q15" s="91" t="s">
        <v>51</v>
      </c>
      <c r="R15" s="93"/>
      <c r="T15" s="90" t="s">
        <v>46</v>
      </c>
      <c r="U15" s="90" t="s">
        <v>56</v>
      </c>
      <c r="V15" s="101" t="s">
        <v>47</v>
      </c>
      <c r="W15" s="90" t="s">
        <v>48</v>
      </c>
      <c r="X15" s="90" t="s">
        <v>49</v>
      </c>
      <c r="Y15" s="94" t="s">
        <v>7</v>
      </c>
      <c r="Z15" s="93"/>
      <c r="AA15" s="90" t="s">
        <v>50</v>
      </c>
      <c r="AB15" s="91" t="s">
        <v>51</v>
      </c>
      <c r="AC15" s="93"/>
    </row>
    <row r="16" spans="1:29" ht="15.75">
      <c r="A16" s="5" t="str">
        <f>'Grunnur  '!A16</f>
        <v>92.1 Færðargreining</v>
      </c>
      <c r="B16" s="118"/>
      <c r="C16" s="8">
        <f>Smábíll_einv</f>
        <v>0</v>
      </c>
      <c r="D16" s="8">
        <f>C16*B16*$D$14</f>
        <v>0</v>
      </c>
      <c r="E16" s="8">
        <f>B16+'Reikningur 7'!E16</f>
        <v>0</v>
      </c>
      <c r="F16" s="8">
        <f>D16+'Reikningur 7'!F16</f>
        <v>0</v>
      </c>
      <c r="G16" s="13" t="str">
        <f>IF(F16=0," ",E16/'Grunnur  '!C16)</f>
        <v xml:space="preserve"> </v>
      </c>
      <c r="H16" s="13"/>
      <c r="I16" s="102"/>
      <c r="J16" s="103"/>
      <c r="K16" s="104"/>
      <c r="L16" s="103"/>
      <c r="M16" s="105"/>
      <c r="N16" s="278"/>
      <c r="O16" s="279"/>
      <c r="P16" s="97"/>
      <c r="Q16" s="276"/>
      <c r="R16" s="277"/>
      <c r="T16" s="102"/>
      <c r="U16" s="103"/>
      <c r="V16" s="104"/>
      <c r="W16" s="103"/>
      <c r="X16" s="105"/>
      <c r="Y16" s="278"/>
      <c r="Z16" s="279"/>
      <c r="AA16" s="97"/>
      <c r="AB16" s="276"/>
      <c r="AC16" s="277"/>
    </row>
    <row r="17" spans="1:29">
      <c r="A17" s="5" t="str">
        <f>'Grunnur  '!A17</f>
        <v>92.21 Snjómokstur og hálkuv.</v>
      </c>
      <c r="B17" s="189"/>
      <c r="C17" s="8">
        <f>Vörubíll_mokstur_einv</f>
        <v>0</v>
      </c>
      <c r="D17" s="8">
        <f t="shared" ref="D17:D24" si="0">C17*B17*$D$14</f>
        <v>0</v>
      </c>
      <c r="E17" s="8">
        <f>B17+'Reikningur 7'!E17</f>
        <v>0</v>
      </c>
      <c r="F17" s="8">
        <f>D17+'Reikningur 7'!F17</f>
        <v>0</v>
      </c>
      <c r="G17" s="13" t="str">
        <f>IF(F17=0," ",E17/'Grunnur  '!C17)</f>
        <v xml:space="preserve"> </v>
      </c>
      <c r="H17" s="13"/>
      <c r="I17" s="90" t="s">
        <v>55</v>
      </c>
      <c r="J17" s="91" t="s">
        <v>52</v>
      </c>
      <c r="K17" s="92"/>
      <c r="L17" s="92"/>
      <c r="M17" s="93"/>
      <c r="N17" s="94" t="s">
        <v>53</v>
      </c>
      <c r="O17" s="93"/>
      <c r="P17" s="91" t="s">
        <v>54</v>
      </c>
      <c r="Q17" s="95"/>
      <c r="R17" s="96"/>
      <c r="T17" s="90" t="s">
        <v>55</v>
      </c>
      <c r="U17" s="91" t="s">
        <v>52</v>
      </c>
      <c r="V17" s="92"/>
      <c r="W17" s="92"/>
      <c r="X17" s="93"/>
      <c r="Y17" s="94" t="s">
        <v>53</v>
      </c>
      <c r="Z17" s="93"/>
      <c r="AA17" s="91" t="s">
        <v>54</v>
      </c>
      <c r="AB17" s="95"/>
      <c r="AC17" s="96"/>
    </row>
    <row r="18" spans="1:29" ht="15.75">
      <c r="A18" s="5" t="str">
        <f>'Grunnur  '!A18</f>
        <v>92.22 Upprif með undirtönn</v>
      </c>
      <c r="B18" s="118"/>
      <c r="C18" s="8">
        <f>Vörubíll_undirtönn_einv</f>
        <v>0</v>
      </c>
      <c r="D18" s="8">
        <f t="shared" si="0"/>
        <v>0</v>
      </c>
      <c r="E18" s="8">
        <f>B18+'Reikningur 7'!E18</f>
        <v>0</v>
      </c>
      <c r="F18" s="8">
        <f>D18+'Reikningur 7'!F18</f>
        <v>0</v>
      </c>
      <c r="G18" s="13" t="str">
        <f>IF(F18=0," ",E18/'Grunnur  '!C18)</f>
        <v xml:space="preserve"> </v>
      </c>
      <c r="H18" s="13"/>
      <c r="I18" s="97"/>
      <c r="J18" s="273"/>
      <c r="K18" s="274"/>
      <c r="L18" s="274"/>
      <c r="M18" s="275"/>
      <c r="N18" s="271"/>
      <c r="O18" s="272"/>
      <c r="P18" s="98"/>
      <c r="Q18" s="99"/>
      <c r="R18" s="100"/>
      <c r="T18" s="97"/>
      <c r="U18" s="273"/>
      <c r="V18" s="274"/>
      <c r="W18" s="274"/>
      <c r="X18" s="275"/>
      <c r="Y18" s="271"/>
      <c r="Z18" s="272"/>
      <c r="AA18" s="98"/>
      <c r="AB18" s="99"/>
      <c r="AC18" s="100"/>
    </row>
    <row r="19" spans="1:29">
      <c r="A19" s="5" t="str">
        <f>'Grunnur  '!A19</f>
        <v>92.23 Lausakeyrsla vörub.</v>
      </c>
      <c r="B19" s="118"/>
      <c r="C19" s="8">
        <f>Vinnuvél_1_einv</f>
        <v>0</v>
      </c>
      <c r="D19" s="8">
        <f t="shared" si="0"/>
        <v>0</v>
      </c>
      <c r="E19" s="8">
        <f>B19+'Reikningur 7'!E19</f>
        <v>0</v>
      </c>
      <c r="F19" s="8">
        <f>D19+'Reikningur 7'!F19</f>
        <v>0</v>
      </c>
      <c r="G19" s="13" t="str">
        <f>IF(F19=0," ",E19/'Grunnur  '!C19)</f>
        <v xml:space="preserve"> </v>
      </c>
      <c r="H19" s="13"/>
      <c r="I19" s="90" t="s">
        <v>46</v>
      </c>
      <c r="J19" s="90" t="s">
        <v>56</v>
      </c>
      <c r="K19" s="101" t="s">
        <v>47</v>
      </c>
      <c r="L19" s="90" t="s">
        <v>48</v>
      </c>
      <c r="M19" s="90" t="s">
        <v>49</v>
      </c>
      <c r="N19" s="94" t="s">
        <v>7</v>
      </c>
      <c r="O19" s="93"/>
      <c r="P19" s="90" t="s">
        <v>50</v>
      </c>
      <c r="Q19" s="91" t="s">
        <v>51</v>
      </c>
      <c r="R19" s="93"/>
      <c r="T19" s="90" t="s">
        <v>46</v>
      </c>
      <c r="U19" s="90" t="s">
        <v>56</v>
      </c>
      <c r="V19" s="101" t="s">
        <v>47</v>
      </c>
      <c r="W19" s="90" t="s">
        <v>48</v>
      </c>
      <c r="X19" s="90" t="s">
        <v>49</v>
      </c>
      <c r="Y19" s="94" t="s">
        <v>7</v>
      </c>
      <c r="Z19" s="93"/>
      <c r="AA19" s="90" t="s">
        <v>50</v>
      </c>
      <c r="AB19" s="91" t="s">
        <v>51</v>
      </c>
      <c r="AC19" s="93"/>
    </row>
    <row r="20" spans="1:29" ht="15.75">
      <c r="A20" s="5" t="str">
        <f>'Grunnur  '!A20</f>
        <v>92.3 Snjómokstur með vinnuv.</v>
      </c>
      <c r="B20" s="118"/>
      <c r="C20" s="8">
        <f>Vinnuvél_2_einv</f>
        <v>0</v>
      </c>
      <c r="D20" s="8">
        <f t="shared" si="0"/>
        <v>0</v>
      </c>
      <c r="E20" s="8">
        <f>B20+'Reikningur 7'!E20</f>
        <v>0</v>
      </c>
      <c r="F20" s="8">
        <f>D20+'Reikningur 7'!F20</f>
        <v>0</v>
      </c>
      <c r="G20" s="13" t="str">
        <f>IF(F20=0," ",E20/'Grunnur  '!C20)</f>
        <v xml:space="preserve"> </v>
      </c>
      <c r="H20" s="13"/>
      <c r="I20" s="102"/>
      <c r="J20" s="103"/>
      <c r="K20" s="104"/>
      <c r="L20" s="103"/>
      <c r="M20" s="105"/>
      <c r="N20" s="132"/>
      <c r="O20" s="133"/>
      <c r="P20" s="97"/>
      <c r="Q20" s="125"/>
      <c r="R20" s="126"/>
      <c r="T20" s="102"/>
      <c r="U20" s="103"/>
      <c r="V20" s="104"/>
      <c r="W20" s="103"/>
      <c r="X20" s="105"/>
      <c r="Y20" s="236"/>
      <c r="Z20" s="237"/>
      <c r="AA20" s="97"/>
      <c r="AB20" s="234"/>
      <c r="AC20" s="235"/>
    </row>
    <row r="21" spans="1:29">
      <c r="A21" s="5" t="str">
        <f>'Grunnur  '!A21</f>
        <v xml:space="preserve">92.8 Biðtími </v>
      </c>
      <c r="B21" s="118"/>
      <c r="C21" s="8">
        <f>Vinnuvél_3_einv</f>
        <v>0</v>
      </c>
      <c r="D21" s="8">
        <f t="shared" si="0"/>
        <v>0</v>
      </c>
      <c r="E21" s="8">
        <f>B21+'Reikningur 7'!E21</f>
        <v>0</v>
      </c>
      <c r="F21" s="8">
        <f>D21+'Reikningur 7'!F21</f>
        <v>0</v>
      </c>
      <c r="G21" s="13" t="str">
        <f>IF(F21=0," ",E21/'Grunnur  '!C21)</f>
        <v xml:space="preserve"> </v>
      </c>
      <c r="H21" s="13"/>
      <c r="I21" s="90" t="s">
        <v>55</v>
      </c>
      <c r="J21" s="91" t="s">
        <v>52</v>
      </c>
      <c r="K21" s="92"/>
      <c r="L21" s="92"/>
      <c r="M21" s="93"/>
      <c r="N21" s="94" t="s">
        <v>53</v>
      </c>
      <c r="O21" s="93"/>
      <c r="P21" s="91" t="s">
        <v>54</v>
      </c>
      <c r="Q21" s="95"/>
      <c r="R21" s="96"/>
      <c r="T21" s="90" t="s">
        <v>55</v>
      </c>
      <c r="U21" s="91" t="s">
        <v>52</v>
      </c>
      <c r="V21" s="92"/>
      <c r="W21" s="92"/>
      <c r="X21" s="93"/>
      <c r="Y21" s="94" t="s">
        <v>53</v>
      </c>
      <c r="Z21" s="93"/>
      <c r="AA21" s="91" t="s">
        <v>54</v>
      </c>
      <c r="AB21" s="95"/>
      <c r="AC21" s="96"/>
    </row>
    <row r="22" spans="1:29" ht="15.75">
      <c r="A22" s="5">
        <f>'Grunnur  '!A22</f>
        <v>0</v>
      </c>
      <c r="B22" s="118"/>
      <c r="C22" s="8">
        <f>Vinnuvél_4_einv</f>
        <v>0</v>
      </c>
      <c r="D22" s="8">
        <f t="shared" si="0"/>
        <v>0</v>
      </c>
      <c r="E22" s="8">
        <f>B22+'Reikningur 7'!E22</f>
        <v>0</v>
      </c>
      <c r="F22" s="8">
        <f>D22+'Reikningur 7'!F22</f>
        <v>0</v>
      </c>
      <c r="G22" s="13" t="str">
        <f>IF(F22=0," ",E22/'Grunnur  '!C22)</f>
        <v xml:space="preserve"> </v>
      </c>
      <c r="H22" s="13"/>
      <c r="I22" s="97"/>
      <c r="J22" s="127"/>
      <c r="K22" s="128"/>
      <c r="L22" s="128"/>
      <c r="M22" s="129"/>
      <c r="N22" s="130"/>
      <c r="O22" s="131"/>
      <c r="P22" s="98"/>
      <c r="Q22" s="99"/>
      <c r="R22" s="100"/>
      <c r="T22" s="97"/>
      <c r="U22" s="231"/>
      <c r="V22" s="232"/>
      <c r="W22" s="232"/>
      <c r="X22" s="233"/>
      <c r="Y22" s="229"/>
      <c r="Z22" s="230"/>
      <c r="AA22" s="98"/>
      <c r="AB22" s="99"/>
      <c r="AC22" s="100"/>
    </row>
    <row r="23" spans="1:29">
      <c r="A23" s="5">
        <f>'Grunnur  '!A23</f>
        <v>0</v>
      </c>
      <c r="B23" s="118"/>
      <c r="C23" s="8">
        <f>Biðtími_smábíll_einv</f>
        <v>0</v>
      </c>
      <c r="D23" s="8">
        <f t="shared" si="0"/>
        <v>0</v>
      </c>
      <c r="E23" s="8">
        <f>B23+'Reikningur 7'!E23</f>
        <v>0</v>
      </c>
      <c r="F23" s="8">
        <f>D23+'Reikningur 7'!F23</f>
        <v>0</v>
      </c>
      <c r="G23" s="13" t="str">
        <f>IF(F23=0," ",E23/'Grunnur  '!C23)</f>
        <v xml:space="preserve"> </v>
      </c>
      <c r="H23" s="13"/>
      <c r="I23" s="90" t="s">
        <v>46</v>
      </c>
      <c r="J23" s="90" t="s">
        <v>56</v>
      </c>
      <c r="K23" s="101" t="s">
        <v>47</v>
      </c>
      <c r="L23" s="90" t="s">
        <v>48</v>
      </c>
      <c r="M23" s="90" t="s">
        <v>49</v>
      </c>
      <c r="N23" s="94" t="s">
        <v>7</v>
      </c>
      <c r="O23" s="93"/>
      <c r="P23" s="90" t="s">
        <v>50</v>
      </c>
      <c r="Q23" s="91" t="s">
        <v>51</v>
      </c>
      <c r="R23" s="93"/>
      <c r="T23" s="90" t="s">
        <v>46</v>
      </c>
      <c r="U23" s="90" t="s">
        <v>56</v>
      </c>
      <c r="V23" s="101" t="s">
        <v>47</v>
      </c>
      <c r="W23" s="90" t="s">
        <v>48</v>
      </c>
      <c r="X23" s="90" t="s">
        <v>49</v>
      </c>
      <c r="Y23" s="94" t="s">
        <v>7</v>
      </c>
      <c r="Z23" s="93"/>
      <c r="AA23" s="90" t="s">
        <v>50</v>
      </c>
      <c r="AB23" s="91" t="s">
        <v>51</v>
      </c>
      <c r="AC23" s="93"/>
    </row>
    <row r="24" spans="1:29" ht="15.75">
      <c r="A24" s="5">
        <f>'Grunnur  '!A24</f>
        <v>0</v>
      </c>
      <c r="B24" s="118"/>
      <c r="C24" s="8">
        <f>Biðtími_vörubíll_einv</f>
        <v>0</v>
      </c>
      <c r="D24" s="8">
        <f t="shared" si="0"/>
        <v>0</v>
      </c>
      <c r="E24" s="8">
        <f>B24+'Reikningur 7'!E24</f>
        <v>0</v>
      </c>
      <c r="F24" s="8">
        <f>D24+'Reikningur 7'!F24</f>
        <v>0</v>
      </c>
      <c r="G24" s="13" t="str">
        <f>IF(F24=0," ",E24/'Grunnur  '!C24)</f>
        <v xml:space="preserve"> </v>
      </c>
      <c r="H24" s="13"/>
      <c r="I24" s="102"/>
      <c r="J24" s="103"/>
      <c r="K24" s="104"/>
      <c r="L24" s="103"/>
      <c r="M24" s="105"/>
      <c r="N24" s="132"/>
      <c r="O24" s="133"/>
      <c r="P24" s="97"/>
      <c r="Q24" s="125"/>
      <c r="R24" s="126"/>
      <c r="T24" s="102"/>
      <c r="U24" s="103"/>
      <c r="V24" s="104"/>
      <c r="W24" s="103"/>
      <c r="X24" s="105"/>
      <c r="Y24" s="236"/>
      <c r="Z24" s="237"/>
      <c r="AA24" s="97"/>
      <c r="AB24" s="234"/>
      <c r="AC24" s="235"/>
    </row>
    <row r="25" spans="1:29" ht="13.5" thickBot="1">
      <c r="A25" s="29" t="s">
        <v>19</v>
      </c>
      <c r="B25" s="23"/>
      <c r="C25" s="23"/>
      <c r="D25" s="25">
        <f>SUM(D16:D24)</f>
        <v>0</v>
      </c>
      <c r="E25" s="23"/>
      <c r="F25" s="23">
        <f>SUM(F16:F24)</f>
        <v>0</v>
      </c>
      <c r="G25" s="26" t="e">
        <f>(F25/D14)/Heildarupphæð</f>
        <v>#DIV/0!</v>
      </c>
      <c r="H25" s="63"/>
      <c r="I25" s="90" t="s">
        <v>55</v>
      </c>
      <c r="J25" s="91" t="s">
        <v>52</v>
      </c>
      <c r="K25" s="92"/>
      <c r="L25" s="92"/>
      <c r="M25" s="93"/>
      <c r="N25" s="94" t="s">
        <v>53</v>
      </c>
      <c r="O25" s="93"/>
      <c r="P25" s="91" t="s">
        <v>54</v>
      </c>
      <c r="Q25" s="95"/>
      <c r="R25" s="96"/>
      <c r="T25" s="90" t="s">
        <v>55</v>
      </c>
      <c r="U25" s="91" t="s">
        <v>52</v>
      </c>
      <c r="V25" s="92"/>
      <c r="W25" s="92"/>
      <c r="X25" s="93"/>
      <c r="Y25" s="94" t="s">
        <v>53</v>
      </c>
      <c r="Z25" s="93"/>
      <c r="AA25" s="91" t="s">
        <v>54</v>
      </c>
      <c r="AB25" s="95"/>
      <c r="AC25" s="96"/>
    </row>
    <row r="26" spans="1:29" ht="16.5" thickTop="1">
      <c r="B26" s="10"/>
      <c r="C26" s="11"/>
      <c r="D26" s="12"/>
      <c r="E26" s="10"/>
      <c r="F26" s="10"/>
      <c r="G26" s="10"/>
      <c r="H26" s="10"/>
      <c r="I26" s="97"/>
      <c r="J26" s="127"/>
      <c r="K26" s="128"/>
      <c r="L26" s="128"/>
      <c r="M26" s="129"/>
      <c r="N26" s="130"/>
      <c r="O26" s="131"/>
      <c r="P26" s="98"/>
      <c r="Q26" s="99"/>
      <c r="R26" s="100"/>
      <c r="T26" s="97"/>
      <c r="U26" s="231"/>
      <c r="V26" s="232"/>
      <c r="W26" s="232"/>
      <c r="X26" s="233"/>
      <c r="Y26" s="229"/>
      <c r="Z26" s="230"/>
      <c r="AA26" s="98"/>
      <c r="AB26" s="99"/>
      <c r="AC26" s="100"/>
    </row>
    <row r="27" spans="1:29">
      <c r="G27" s="13"/>
      <c r="H27" s="13"/>
      <c r="I27" s="90" t="s">
        <v>46</v>
      </c>
      <c r="J27" s="90" t="s">
        <v>56</v>
      </c>
      <c r="K27" s="101" t="s">
        <v>47</v>
      </c>
      <c r="L27" s="90" t="s">
        <v>48</v>
      </c>
      <c r="M27" s="90" t="s">
        <v>49</v>
      </c>
      <c r="N27" s="94" t="s">
        <v>7</v>
      </c>
      <c r="O27" s="93"/>
      <c r="P27" s="90" t="s">
        <v>50</v>
      </c>
      <c r="Q27" s="91" t="s">
        <v>51</v>
      </c>
      <c r="R27" s="93"/>
      <c r="T27" s="90" t="s">
        <v>46</v>
      </c>
      <c r="U27" s="90" t="s">
        <v>56</v>
      </c>
      <c r="V27" s="101" t="s">
        <v>47</v>
      </c>
      <c r="W27" s="90" t="s">
        <v>48</v>
      </c>
      <c r="X27" s="90" t="s">
        <v>49</v>
      </c>
      <c r="Y27" s="94" t="s">
        <v>7</v>
      </c>
      <c r="Z27" s="93"/>
      <c r="AA27" s="90" t="s">
        <v>50</v>
      </c>
      <c r="AB27" s="91" t="s">
        <v>51</v>
      </c>
      <c r="AC27" s="93"/>
    </row>
    <row r="28" spans="1:29" ht="15.75">
      <c r="A28" s="41" t="s">
        <v>22</v>
      </c>
      <c r="B28" s="107"/>
      <c r="I28" s="102"/>
      <c r="J28" s="103"/>
      <c r="K28" s="104"/>
      <c r="L28" s="103"/>
      <c r="M28" s="105"/>
      <c r="N28" s="132"/>
      <c r="O28" s="133"/>
      <c r="P28" s="97"/>
      <c r="Q28" s="98"/>
      <c r="R28" s="106"/>
      <c r="T28" s="102"/>
      <c r="U28" s="103"/>
      <c r="V28" s="104"/>
      <c r="W28" s="103"/>
      <c r="X28" s="105"/>
      <c r="Y28" s="236"/>
      <c r="Z28" s="237"/>
      <c r="AA28" s="97"/>
      <c r="AB28" s="98"/>
      <c r="AC28" s="106"/>
    </row>
    <row r="29" spans="1:29">
      <c r="I29" s="90" t="s">
        <v>55</v>
      </c>
      <c r="J29" s="91" t="s">
        <v>52</v>
      </c>
      <c r="K29" s="92"/>
      <c r="L29" s="92"/>
      <c r="M29" s="93"/>
      <c r="N29" s="94" t="s">
        <v>53</v>
      </c>
      <c r="O29" s="93"/>
      <c r="P29" s="91" t="s">
        <v>54</v>
      </c>
      <c r="Q29" s="95"/>
      <c r="R29" s="96"/>
      <c r="T29" s="90" t="s">
        <v>55</v>
      </c>
      <c r="U29" s="91" t="s">
        <v>52</v>
      </c>
      <c r="V29" s="92"/>
      <c r="W29" s="92"/>
      <c r="X29" s="93"/>
      <c r="Y29" s="94" t="s">
        <v>53</v>
      </c>
      <c r="Z29" s="93"/>
      <c r="AA29" s="91" t="s">
        <v>54</v>
      </c>
      <c r="AB29" s="95"/>
      <c r="AC29" s="96"/>
    </row>
    <row r="30" spans="1:29" ht="15.75">
      <c r="A30" s="43" t="s">
        <v>9</v>
      </c>
      <c r="B30" s="44" t="s">
        <v>26</v>
      </c>
      <c r="C30" s="44" t="s">
        <v>27</v>
      </c>
      <c r="D30" s="44" t="s">
        <v>24</v>
      </c>
      <c r="E30" s="224" t="s">
        <v>73</v>
      </c>
      <c r="F30" s="224" t="s">
        <v>75</v>
      </c>
      <c r="I30" s="97"/>
      <c r="J30" s="127"/>
      <c r="K30" s="128"/>
      <c r="L30" s="128"/>
      <c r="M30" s="129"/>
      <c r="N30" s="130"/>
      <c r="O30" s="131"/>
      <c r="P30" s="98"/>
      <c r="Q30" s="99"/>
      <c r="R30" s="100"/>
      <c r="T30" s="97"/>
      <c r="U30" s="231"/>
      <c r="V30" s="232"/>
      <c r="W30" s="232"/>
      <c r="X30" s="233"/>
      <c r="Y30" s="229"/>
      <c r="Z30" s="230"/>
      <c r="AA30" s="98"/>
      <c r="AB30" s="99"/>
      <c r="AC30" s="100"/>
    </row>
    <row r="31" spans="1:29">
      <c r="A31" s="227" t="str">
        <f>IF(Fast_gjald_hlutfall=0.2,"Breytilegur kostnaður 80 %",IF(Fast_gjald_hlutfall=0.25,"Breytilegur kostnaður 75 %",IF(Fast_gjald_hlutfall=0.3,"Breytilegur kostnaður 70 %","Villa leiðr. breytil kostn.")))</f>
        <v>Villa leiðr. breytil kostn.</v>
      </c>
      <c r="B31" s="14">
        <f>F25</f>
        <v>0</v>
      </c>
      <c r="C31" s="14">
        <f>'Reikningur 7'!F25</f>
        <v>0</v>
      </c>
      <c r="D31" s="14">
        <f>B31-C31</f>
        <v>0</v>
      </c>
      <c r="I31" s="90" t="s">
        <v>46</v>
      </c>
      <c r="J31" s="90" t="s">
        <v>56</v>
      </c>
      <c r="K31" s="101" t="s">
        <v>47</v>
      </c>
      <c r="L31" s="90" t="s">
        <v>48</v>
      </c>
      <c r="M31" s="90" t="s">
        <v>49</v>
      </c>
      <c r="N31" s="94" t="s">
        <v>7</v>
      </c>
      <c r="O31" s="93"/>
      <c r="P31" s="90" t="s">
        <v>50</v>
      </c>
      <c r="Q31" s="91" t="s">
        <v>51</v>
      </c>
      <c r="R31" s="93"/>
      <c r="T31" s="90" t="s">
        <v>46</v>
      </c>
      <c r="U31" s="90" t="s">
        <v>56</v>
      </c>
      <c r="V31" s="101" t="s">
        <v>47</v>
      </c>
      <c r="W31" s="90" t="s">
        <v>48</v>
      </c>
      <c r="X31" s="90" t="s">
        <v>49</v>
      </c>
      <c r="Y31" s="94" t="s">
        <v>7</v>
      </c>
      <c r="Z31" s="93"/>
      <c r="AA31" s="90" t="s">
        <v>50</v>
      </c>
      <c r="AB31" s="91" t="s">
        <v>51</v>
      </c>
      <c r="AC31" s="93"/>
    </row>
    <row r="32" spans="1:29" ht="15.75">
      <c r="A32" s="226" t="s">
        <v>78</v>
      </c>
      <c r="B32" s="40" t="e">
        <f>IF(E32&lt;=F32,E32,F32)</f>
        <v>#DIV/0!</v>
      </c>
      <c r="C32" s="14" t="e">
        <f>'Reikningur 7'!B32</f>
        <v>#DIV/0!</v>
      </c>
      <c r="D32" s="14" t="e">
        <f>B32-C32</f>
        <v>#DIV/0!</v>
      </c>
      <c r="E32" s="223" t="e">
        <f>'Grunnur  '!$G$23*Fast_gjald_hlutfall/Fast_gjald_fjöldi_gjalddaga*$G$4</f>
        <v>#DIV/0!</v>
      </c>
      <c r="F32" s="10" t="e">
        <f>IF(G25*100&lt;=200,(Fast_gjald_kr.+'Grunnur  '!$G$23*('Reikningur 8'!G25*100+(100-'Reikningur 8'!G25*100)*Fast_gjald_hlutfall)/100)-(Fast_gjald_kr.+F25),(Fast_gjald_kr.+'Grunnur  '!$G$23*(('Reikningur 8'!G25*100+(100-200)*Fast_gjald_hlutfall+(200-'Reikningur 8'!G25*100)*0.1)/100)-(Fast_gjald_kr.+F25)))</f>
        <v>#DIV/0!</v>
      </c>
      <c r="I32" s="102"/>
      <c r="J32" s="103"/>
      <c r="K32" s="104"/>
      <c r="L32" s="103"/>
      <c r="M32" s="105"/>
      <c r="N32" s="132"/>
      <c r="O32" s="133"/>
      <c r="P32" s="97"/>
      <c r="Q32" s="98"/>
      <c r="R32" s="106"/>
      <c r="T32" s="102"/>
      <c r="U32" s="103"/>
      <c r="V32" s="104"/>
      <c r="W32" s="103"/>
      <c r="X32" s="105"/>
      <c r="Y32" s="236"/>
      <c r="Z32" s="237"/>
      <c r="AA32" s="97"/>
      <c r="AB32" s="98"/>
      <c r="AC32" s="106"/>
    </row>
    <row r="33" spans="1:29">
      <c r="A33" s="226" t="s">
        <v>77</v>
      </c>
      <c r="B33" s="15" t="e">
        <f>B31+B32</f>
        <v>#DIV/0!</v>
      </c>
      <c r="C33" s="15" t="e">
        <f>C31+C32</f>
        <v>#DIV/0!</v>
      </c>
      <c r="D33" s="15" t="e">
        <f>B33-C33</f>
        <v>#DIV/0!</v>
      </c>
      <c r="I33" s="90" t="s">
        <v>55</v>
      </c>
      <c r="J33" s="91" t="s">
        <v>52</v>
      </c>
      <c r="K33" s="92"/>
      <c r="L33" s="92"/>
      <c r="M33" s="93"/>
      <c r="N33" s="94" t="s">
        <v>53</v>
      </c>
      <c r="O33" s="93"/>
      <c r="P33" s="91" t="s">
        <v>54</v>
      </c>
      <c r="Q33" s="95"/>
      <c r="R33" s="96"/>
      <c r="T33" s="90" t="s">
        <v>55</v>
      </c>
      <c r="U33" s="91" t="s">
        <v>52</v>
      </c>
      <c r="V33" s="92"/>
      <c r="W33" s="92"/>
      <c r="X33" s="93"/>
      <c r="Y33" s="94" t="s">
        <v>53</v>
      </c>
      <c r="Z33" s="93"/>
      <c r="AA33" s="91" t="s">
        <v>54</v>
      </c>
      <c r="AB33" s="95"/>
      <c r="AC33" s="96"/>
    </row>
    <row r="34" spans="1:29" ht="15.75">
      <c r="A34" s="4" t="s">
        <v>14</v>
      </c>
      <c r="B34" s="14" t="e">
        <f>(Fast_gjald_kr./Fast_gjald_fjöldi_gjalddaga)*8</f>
        <v>#DIV/0!</v>
      </c>
      <c r="C34" s="14" t="e">
        <f>'Reikningur 7'!B34</f>
        <v>#DIV/0!</v>
      </c>
      <c r="D34" s="14" t="e">
        <f>B34-C34</f>
        <v>#DIV/0!</v>
      </c>
      <c r="I34" s="97"/>
      <c r="J34" s="127"/>
      <c r="K34" s="128"/>
      <c r="L34" s="128"/>
      <c r="M34" s="129"/>
      <c r="N34" s="130"/>
      <c r="O34" s="131"/>
      <c r="P34" s="98"/>
      <c r="Q34" s="99"/>
      <c r="R34" s="100"/>
      <c r="T34" s="97"/>
      <c r="U34" s="231"/>
      <c r="V34" s="232"/>
      <c r="W34" s="232"/>
      <c r="X34" s="233"/>
      <c r="Y34" s="229"/>
      <c r="Z34" s="230"/>
      <c r="AA34" s="98"/>
      <c r="AB34" s="99"/>
      <c r="AC34" s="100"/>
    </row>
    <row r="35" spans="1:29">
      <c r="A35" s="4" t="s">
        <v>19</v>
      </c>
      <c r="B35" s="14" t="e">
        <f>B33+B34</f>
        <v>#DIV/0!</v>
      </c>
      <c r="C35" s="14" t="e">
        <f>C33+C34</f>
        <v>#DIV/0!</v>
      </c>
      <c r="D35" s="14" t="e">
        <f>D33+D34</f>
        <v>#DIV/0!</v>
      </c>
      <c r="F35" t="e">
        <f>Fast_gjald_kr.+'Grunnur  '!$G$23*('Reikningur 8'!G25*100+(100-'Reikningur 8'!G25*100)*Fast_gjald_hlutfall)/100-(Fast_gjald_kr.+F25)</f>
        <v>#DIV/0!</v>
      </c>
      <c r="I35" s="90" t="s">
        <v>46</v>
      </c>
      <c r="J35" s="90" t="s">
        <v>56</v>
      </c>
      <c r="K35" s="101" t="s">
        <v>47</v>
      </c>
      <c r="L35" s="90" t="s">
        <v>48</v>
      </c>
      <c r="M35" s="90" t="s">
        <v>49</v>
      </c>
      <c r="N35" s="94" t="s">
        <v>7</v>
      </c>
      <c r="O35" s="93"/>
      <c r="P35" s="90" t="s">
        <v>50</v>
      </c>
      <c r="Q35" s="91" t="s">
        <v>51</v>
      </c>
      <c r="R35" s="93"/>
      <c r="T35" s="90" t="s">
        <v>46</v>
      </c>
      <c r="U35" s="90" t="s">
        <v>56</v>
      </c>
      <c r="V35" s="101" t="s">
        <v>47</v>
      </c>
      <c r="W35" s="90" t="s">
        <v>48</v>
      </c>
      <c r="X35" s="90" t="s">
        <v>49</v>
      </c>
      <c r="Y35" s="94" t="s">
        <v>7</v>
      </c>
      <c r="Z35" s="93"/>
      <c r="AA35" s="90" t="s">
        <v>50</v>
      </c>
      <c r="AB35" s="91" t="s">
        <v>51</v>
      </c>
      <c r="AC35" s="93"/>
    </row>
    <row r="36" spans="1:29" ht="15.75">
      <c r="A36" s="4" t="s">
        <v>21</v>
      </c>
      <c r="B36" s="14" t="e">
        <f>D36+C36</f>
        <v>#DIV/0!</v>
      </c>
      <c r="C36" s="14" t="e">
        <f>'Reikningur 7'!B36</f>
        <v>#DIV/0!</v>
      </c>
      <c r="D36" s="14" t="e">
        <f>D35*B28</f>
        <v>#DIV/0!</v>
      </c>
      <c r="F36" t="e">
        <f>Fast_gjald_kr.+'Grunnur  '!$G$23*(('Reikningur 8'!G25*100+(100-200)*Fast_gjald_hlutfall+(200-'Reikningur 8'!G25*100)*0.1)/100)-(Fast_gjald_kr.+F25)</f>
        <v>#DIV/0!</v>
      </c>
      <c r="I36" s="102"/>
      <c r="J36" s="103"/>
      <c r="K36" s="104"/>
      <c r="L36" s="103"/>
      <c r="M36" s="105"/>
      <c r="N36" s="132"/>
      <c r="O36" s="133"/>
      <c r="P36" s="97"/>
      <c r="Q36" s="98"/>
      <c r="R36" s="106"/>
      <c r="T36" s="102"/>
      <c r="U36" s="103"/>
      <c r="V36" s="104"/>
      <c r="W36" s="103"/>
      <c r="X36" s="105"/>
      <c r="Y36" s="236"/>
      <c r="Z36" s="237"/>
      <c r="AA36" s="97"/>
      <c r="AB36" s="98"/>
      <c r="AC36" s="106"/>
    </row>
    <row r="37" spans="1:29">
      <c r="A37" s="47" t="s">
        <v>28</v>
      </c>
      <c r="B37" s="48" t="e">
        <f>B35+B36</f>
        <v>#DIV/0!</v>
      </c>
      <c r="C37" s="48" t="e">
        <f>C35+C36</f>
        <v>#DIV/0!</v>
      </c>
      <c r="D37" s="49" t="e">
        <f>D35+D36</f>
        <v>#DIV/0!</v>
      </c>
      <c r="I37" s="90" t="s">
        <v>55</v>
      </c>
      <c r="J37" s="91" t="s">
        <v>52</v>
      </c>
      <c r="K37" s="92"/>
      <c r="L37" s="92"/>
      <c r="M37" s="93"/>
      <c r="N37" s="94" t="s">
        <v>53</v>
      </c>
      <c r="O37" s="93"/>
      <c r="P37" s="91" t="s">
        <v>54</v>
      </c>
      <c r="Q37" s="95"/>
      <c r="R37" s="96"/>
      <c r="T37" s="90" t="s">
        <v>55</v>
      </c>
      <c r="U37" s="91" t="s">
        <v>52</v>
      </c>
      <c r="V37" s="92"/>
      <c r="W37" s="92"/>
      <c r="X37" s="93"/>
      <c r="Y37" s="94" t="s">
        <v>53</v>
      </c>
      <c r="Z37" s="93"/>
      <c r="AA37" s="91" t="s">
        <v>54</v>
      </c>
      <c r="AB37" s="95"/>
      <c r="AC37" s="96"/>
    </row>
    <row r="38" spans="1:29" ht="15.75">
      <c r="A38" s="5"/>
      <c r="I38" s="97"/>
      <c r="J38" s="127"/>
      <c r="K38" s="128"/>
      <c r="L38" s="128"/>
      <c r="M38" s="129"/>
      <c r="N38" s="130"/>
      <c r="O38" s="131"/>
      <c r="P38" s="98"/>
      <c r="Q38" s="99"/>
      <c r="R38" s="100"/>
      <c r="T38" s="97"/>
      <c r="U38" s="231"/>
      <c r="V38" s="232"/>
      <c r="W38" s="232"/>
      <c r="X38" s="233"/>
      <c r="Y38" s="229"/>
      <c r="Z38" s="230"/>
      <c r="AA38" s="98"/>
      <c r="AB38" s="99"/>
      <c r="AC38" s="100"/>
    </row>
    <row r="39" spans="1:29">
      <c r="A39" s="5"/>
      <c r="C39" s="14"/>
      <c r="I39" s="90" t="s">
        <v>46</v>
      </c>
      <c r="J39" s="90" t="s">
        <v>56</v>
      </c>
      <c r="K39" s="101" t="s">
        <v>47</v>
      </c>
      <c r="L39" s="90" t="s">
        <v>48</v>
      </c>
      <c r="M39" s="90" t="s">
        <v>49</v>
      </c>
      <c r="N39" s="94" t="s">
        <v>7</v>
      </c>
      <c r="O39" s="93"/>
      <c r="P39" s="90" t="s">
        <v>50</v>
      </c>
      <c r="Q39" s="91" t="s">
        <v>51</v>
      </c>
      <c r="R39" s="93"/>
      <c r="T39" s="90" t="s">
        <v>46</v>
      </c>
      <c r="U39" s="90" t="s">
        <v>56</v>
      </c>
      <c r="V39" s="101" t="s">
        <v>47</v>
      </c>
      <c r="W39" s="90" t="s">
        <v>48</v>
      </c>
      <c r="X39" s="90" t="s">
        <v>49</v>
      </c>
      <c r="Y39" s="94" t="s">
        <v>7</v>
      </c>
      <c r="Z39" s="93"/>
      <c r="AA39" s="90" t="s">
        <v>50</v>
      </c>
      <c r="AB39" s="91" t="s">
        <v>51</v>
      </c>
      <c r="AC39" s="93"/>
    </row>
    <row r="40" spans="1:29" ht="15.75">
      <c r="A40" s="5"/>
      <c r="I40" s="102"/>
      <c r="J40" s="103"/>
      <c r="K40" s="104"/>
      <c r="L40" s="103"/>
      <c r="M40" s="105"/>
      <c r="N40" s="236"/>
      <c r="O40" s="237"/>
      <c r="P40" s="97"/>
      <c r="Q40" s="234"/>
      <c r="R40" s="235"/>
      <c r="T40" s="102"/>
      <c r="U40" s="103"/>
      <c r="V40" s="104"/>
      <c r="W40" s="103"/>
      <c r="X40" s="105"/>
      <c r="Y40" s="236"/>
      <c r="Z40" s="237"/>
      <c r="AA40" s="97"/>
      <c r="AB40" s="234"/>
      <c r="AC40" s="235"/>
    </row>
    <row r="41" spans="1:29">
      <c r="A41" s="5"/>
      <c r="C41" s="14"/>
      <c r="I41" s="90" t="s">
        <v>55</v>
      </c>
      <c r="J41" s="91" t="s">
        <v>52</v>
      </c>
      <c r="K41" s="92"/>
      <c r="L41" s="92"/>
      <c r="M41" s="93"/>
      <c r="N41" s="94" t="s">
        <v>53</v>
      </c>
      <c r="O41" s="93"/>
      <c r="P41" s="91" t="s">
        <v>54</v>
      </c>
      <c r="Q41" s="95"/>
      <c r="R41" s="96"/>
      <c r="T41" s="90" t="s">
        <v>55</v>
      </c>
      <c r="U41" s="91" t="s">
        <v>52</v>
      </c>
      <c r="V41" s="92"/>
      <c r="W41" s="92"/>
      <c r="X41" s="93"/>
      <c r="Y41" s="94" t="s">
        <v>53</v>
      </c>
      <c r="Z41" s="93"/>
      <c r="AA41" s="91" t="s">
        <v>54</v>
      </c>
      <c r="AB41" s="95"/>
      <c r="AC41" s="96"/>
    </row>
    <row r="42" spans="1:29" ht="15.75">
      <c r="A42" s="5"/>
      <c r="I42" s="97"/>
      <c r="J42" s="231"/>
      <c r="K42" s="232"/>
      <c r="L42" s="232"/>
      <c r="M42" s="233"/>
      <c r="N42" s="229"/>
      <c r="O42" s="230"/>
      <c r="P42" s="98"/>
      <c r="Q42" s="99"/>
      <c r="R42" s="100"/>
      <c r="T42" s="97"/>
      <c r="U42" s="231"/>
      <c r="V42" s="232"/>
      <c r="W42" s="232"/>
      <c r="X42" s="233"/>
      <c r="Y42" s="229"/>
      <c r="Z42" s="230"/>
      <c r="AA42" s="98"/>
      <c r="AB42" s="99"/>
      <c r="AC42" s="100"/>
    </row>
    <row r="43" spans="1:29">
      <c r="A43" s="14"/>
      <c r="I43" s="90" t="s">
        <v>46</v>
      </c>
      <c r="J43" s="90" t="s">
        <v>56</v>
      </c>
      <c r="K43" s="101" t="s">
        <v>47</v>
      </c>
      <c r="L43" s="90" t="s">
        <v>48</v>
      </c>
      <c r="M43" s="90" t="s">
        <v>49</v>
      </c>
      <c r="N43" s="94" t="s">
        <v>7</v>
      </c>
      <c r="O43" s="93"/>
      <c r="P43" s="90" t="s">
        <v>50</v>
      </c>
      <c r="Q43" s="91" t="s">
        <v>51</v>
      </c>
      <c r="R43" s="93"/>
      <c r="T43" s="90" t="s">
        <v>46</v>
      </c>
      <c r="U43" s="90" t="s">
        <v>56</v>
      </c>
      <c r="V43" s="101" t="s">
        <v>47</v>
      </c>
      <c r="W43" s="90" t="s">
        <v>48</v>
      </c>
      <c r="X43" s="90" t="s">
        <v>49</v>
      </c>
      <c r="Y43" s="94" t="s">
        <v>7</v>
      </c>
      <c r="Z43" s="93"/>
      <c r="AA43" s="90" t="s">
        <v>50</v>
      </c>
      <c r="AB43" s="91" t="s">
        <v>51</v>
      </c>
      <c r="AC43" s="93"/>
    </row>
    <row r="44" spans="1:29" ht="15.75">
      <c r="A44" s="5"/>
      <c r="I44" s="102"/>
      <c r="J44" s="103"/>
      <c r="K44" s="104"/>
      <c r="L44" s="103"/>
      <c r="M44" s="105"/>
      <c r="N44" s="236"/>
      <c r="O44" s="237"/>
      <c r="P44" s="97"/>
      <c r="Q44" s="234"/>
      <c r="R44" s="235"/>
      <c r="T44" s="102"/>
      <c r="U44" s="103"/>
      <c r="V44" s="104"/>
      <c r="W44" s="103"/>
      <c r="X44" s="105"/>
      <c r="Y44" s="236"/>
      <c r="Z44" s="237"/>
      <c r="AA44" s="97"/>
      <c r="AB44" s="234"/>
      <c r="AC44" s="235"/>
    </row>
    <row r="45" spans="1:29">
      <c r="I45" s="90" t="s">
        <v>55</v>
      </c>
      <c r="J45" s="91" t="s">
        <v>52</v>
      </c>
      <c r="K45" s="92"/>
      <c r="L45" s="92"/>
      <c r="M45" s="93"/>
      <c r="N45" s="94" t="s">
        <v>53</v>
      </c>
      <c r="O45" s="93"/>
      <c r="P45" s="91" t="s">
        <v>54</v>
      </c>
      <c r="Q45" s="95"/>
      <c r="R45" s="96"/>
      <c r="T45" s="90" t="s">
        <v>55</v>
      </c>
      <c r="U45" s="91" t="s">
        <v>52</v>
      </c>
      <c r="V45" s="92"/>
      <c r="W45" s="92"/>
      <c r="X45" s="93"/>
      <c r="Y45" s="94" t="s">
        <v>53</v>
      </c>
      <c r="Z45" s="93"/>
      <c r="AA45" s="91" t="s">
        <v>54</v>
      </c>
      <c r="AB45" s="95"/>
      <c r="AC45" s="96"/>
    </row>
    <row r="46" spans="1:29" ht="15.75">
      <c r="I46" s="97"/>
      <c r="J46" s="231"/>
      <c r="K46" s="232"/>
      <c r="L46" s="232"/>
      <c r="M46" s="233"/>
      <c r="N46" s="229"/>
      <c r="O46" s="230"/>
      <c r="P46" s="98"/>
      <c r="Q46" s="99"/>
      <c r="R46" s="100"/>
      <c r="T46" s="97"/>
      <c r="U46" s="231"/>
      <c r="V46" s="232"/>
      <c r="W46" s="232"/>
      <c r="X46" s="233"/>
      <c r="Y46" s="229"/>
      <c r="Z46" s="230"/>
      <c r="AA46" s="98"/>
      <c r="AB46" s="99"/>
      <c r="AC46" s="100"/>
    </row>
    <row r="47" spans="1:29">
      <c r="I47" s="90" t="s">
        <v>46</v>
      </c>
      <c r="J47" s="90" t="s">
        <v>56</v>
      </c>
      <c r="K47" s="101" t="s">
        <v>47</v>
      </c>
      <c r="L47" s="90" t="s">
        <v>48</v>
      </c>
      <c r="M47" s="90" t="s">
        <v>49</v>
      </c>
      <c r="N47" s="94" t="s">
        <v>7</v>
      </c>
      <c r="O47" s="93"/>
      <c r="P47" s="90" t="s">
        <v>50</v>
      </c>
      <c r="Q47" s="91" t="s">
        <v>51</v>
      </c>
      <c r="R47" s="93"/>
      <c r="T47" s="90" t="s">
        <v>46</v>
      </c>
      <c r="U47" s="90" t="s">
        <v>56</v>
      </c>
      <c r="V47" s="101" t="s">
        <v>47</v>
      </c>
      <c r="W47" s="90" t="s">
        <v>48</v>
      </c>
      <c r="X47" s="90" t="s">
        <v>49</v>
      </c>
      <c r="Y47" s="94" t="s">
        <v>7</v>
      </c>
      <c r="Z47" s="93"/>
      <c r="AA47" s="90" t="s">
        <v>50</v>
      </c>
      <c r="AB47" s="91" t="s">
        <v>51</v>
      </c>
      <c r="AC47" s="93"/>
    </row>
    <row r="48" spans="1:29" ht="15.75">
      <c r="I48" s="102"/>
      <c r="J48" s="103"/>
      <c r="K48" s="104"/>
      <c r="L48" s="103"/>
      <c r="M48" s="105"/>
      <c r="N48" s="236"/>
      <c r="O48" s="237"/>
      <c r="P48" s="97"/>
      <c r="Q48" s="234"/>
      <c r="R48" s="235"/>
      <c r="T48" s="102"/>
      <c r="U48" s="103"/>
      <c r="V48" s="104"/>
      <c r="W48" s="103"/>
      <c r="X48" s="105"/>
      <c r="Y48" s="236"/>
      <c r="Z48" s="237"/>
      <c r="AA48" s="97"/>
      <c r="AB48" s="234"/>
      <c r="AC48" s="235"/>
    </row>
    <row r="49" spans="9:29">
      <c r="I49" s="90" t="s">
        <v>55</v>
      </c>
      <c r="J49" s="91" t="s">
        <v>52</v>
      </c>
      <c r="K49" s="92"/>
      <c r="L49" s="92"/>
      <c r="M49" s="93"/>
      <c r="N49" s="94" t="s">
        <v>53</v>
      </c>
      <c r="O49" s="93"/>
      <c r="P49" s="91" t="s">
        <v>54</v>
      </c>
      <c r="Q49" s="95"/>
      <c r="R49" s="96"/>
      <c r="T49" s="90" t="s">
        <v>55</v>
      </c>
      <c r="U49" s="91" t="s">
        <v>52</v>
      </c>
      <c r="V49" s="92"/>
      <c r="W49" s="92"/>
      <c r="X49" s="93"/>
      <c r="Y49" s="94" t="s">
        <v>53</v>
      </c>
      <c r="Z49" s="93"/>
      <c r="AA49" s="91" t="s">
        <v>54</v>
      </c>
      <c r="AB49" s="95"/>
      <c r="AC49" s="96"/>
    </row>
    <row r="50" spans="9:29" ht="15.75">
      <c r="I50" s="97"/>
      <c r="J50" s="231"/>
      <c r="K50" s="232"/>
      <c r="L50" s="232"/>
      <c r="M50" s="233"/>
      <c r="N50" s="229"/>
      <c r="O50" s="230"/>
      <c r="P50" s="98"/>
      <c r="Q50" s="99"/>
      <c r="R50" s="100"/>
      <c r="T50" s="97"/>
      <c r="U50" s="231"/>
      <c r="V50" s="232"/>
      <c r="W50" s="232"/>
      <c r="X50" s="233"/>
      <c r="Y50" s="229"/>
      <c r="Z50" s="230"/>
      <c r="AA50" s="98"/>
      <c r="AB50" s="99"/>
      <c r="AC50" s="100"/>
    </row>
    <row r="51" spans="9:29">
      <c r="I51" s="90" t="s">
        <v>46</v>
      </c>
      <c r="J51" s="90" t="s">
        <v>56</v>
      </c>
      <c r="K51" s="101" t="s">
        <v>47</v>
      </c>
      <c r="L51" s="90" t="s">
        <v>48</v>
      </c>
      <c r="M51" s="90" t="s">
        <v>49</v>
      </c>
      <c r="N51" s="94" t="s">
        <v>7</v>
      </c>
      <c r="O51" s="93"/>
      <c r="P51" s="90" t="s">
        <v>50</v>
      </c>
      <c r="Q51" s="91" t="s">
        <v>51</v>
      </c>
      <c r="R51" s="93"/>
      <c r="T51" s="90" t="s">
        <v>46</v>
      </c>
      <c r="U51" s="90" t="s">
        <v>56</v>
      </c>
      <c r="V51" s="101" t="s">
        <v>47</v>
      </c>
      <c r="W51" s="90" t="s">
        <v>48</v>
      </c>
      <c r="X51" s="90" t="s">
        <v>49</v>
      </c>
      <c r="Y51" s="94" t="s">
        <v>7</v>
      </c>
      <c r="Z51" s="93"/>
      <c r="AA51" s="90" t="s">
        <v>50</v>
      </c>
      <c r="AB51" s="91" t="s">
        <v>51</v>
      </c>
      <c r="AC51" s="93"/>
    </row>
    <row r="52" spans="9:29" ht="15.75">
      <c r="I52" s="102"/>
      <c r="J52" s="103"/>
      <c r="K52" s="104"/>
      <c r="L52" s="103"/>
      <c r="M52" s="105"/>
      <c r="N52" s="236"/>
      <c r="O52" s="237"/>
      <c r="P52" s="97"/>
      <c r="Q52" s="234"/>
      <c r="R52" s="235"/>
      <c r="T52" s="102"/>
      <c r="U52" s="103"/>
      <c r="V52" s="104"/>
      <c r="W52" s="103"/>
      <c r="X52" s="105"/>
      <c r="Y52" s="236"/>
      <c r="Z52" s="237"/>
      <c r="AA52" s="97"/>
      <c r="AB52" s="234"/>
      <c r="AC52" s="235"/>
    </row>
    <row r="53" spans="9:29">
      <c r="I53" s="90" t="s">
        <v>55</v>
      </c>
      <c r="J53" s="91" t="s">
        <v>52</v>
      </c>
      <c r="K53" s="92"/>
      <c r="L53" s="92"/>
      <c r="M53" s="93"/>
      <c r="N53" s="94" t="s">
        <v>53</v>
      </c>
      <c r="O53" s="93"/>
      <c r="P53" s="91" t="s">
        <v>54</v>
      </c>
      <c r="Q53" s="95"/>
      <c r="R53" s="96"/>
      <c r="T53" s="90" t="s">
        <v>55</v>
      </c>
      <c r="U53" s="91" t="s">
        <v>52</v>
      </c>
      <c r="V53" s="92"/>
      <c r="W53" s="92"/>
      <c r="X53" s="93"/>
      <c r="Y53" s="94" t="s">
        <v>53</v>
      </c>
      <c r="Z53" s="93"/>
      <c r="AA53" s="91" t="s">
        <v>54</v>
      </c>
      <c r="AB53" s="95"/>
      <c r="AC53" s="96"/>
    </row>
    <row r="54" spans="9:29" ht="15.75">
      <c r="I54" s="97"/>
      <c r="J54" s="231"/>
      <c r="K54" s="232"/>
      <c r="L54" s="232"/>
      <c r="M54" s="233"/>
      <c r="N54" s="229"/>
      <c r="O54" s="230"/>
      <c r="P54" s="98"/>
      <c r="Q54" s="99"/>
      <c r="R54" s="100"/>
      <c r="T54" s="97"/>
      <c r="U54" s="231"/>
      <c r="V54" s="232"/>
      <c r="W54" s="232"/>
      <c r="X54" s="233"/>
      <c r="Y54" s="229"/>
      <c r="Z54" s="230"/>
      <c r="AA54" s="98"/>
      <c r="AB54" s="99"/>
      <c r="AC54" s="100"/>
    </row>
    <row r="55" spans="9:29">
      <c r="T55" s="240"/>
      <c r="U55" s="240"/>
      <c r="V55" s="240"/>
      <c r="W55" s="240"/>
      <c r="X55" s="240"/>
      <c r="Y55" s="242"/>
      <c r="Z55" s="240"/>
      <c r="AA55" s="240"/>
      <c r="AB55" s="240"/>
      <c r="AC55" s="240"/>
    </row>
    <row r="56" spans="9:29" ht="15.75">
      <c r="T56" s="247"/>
      <c r="U56" s="249"/>
      <c r="V56" s="249"/>
      <c r="W56" s="249"/>
      <c r="X56" s="249"/>
      <c r="Y56" s="250"/>
      <c r="Z56" s="250"/>
      <c r="AA56" s="247"/>
      <c r="AB56" s="247"/>
      <c r="AC56" s="247"/>
    </row>
  </sheetData>
  <sheetProtection password="D042" sheet="1" objects="1" scenarios="1"/>
  <mergeCells count="25">
    <mergeCell ref="N18:O18"/>
    <mergeCell ref="J18:M18"/>
    <mergeCell ref="N16:O16"/>
    <mergeCell ref="N14:O14"/>
    <mergeCell ref="J14:M14"/>
    <mergeCell ref="Q12:R12"/>
    <mergeCell ref="N12:O12"/>
    <mergeCell ref="Q3:R3"/>
    <mergeCell ref="Q16:R16"/>
    <mergeCell ref="A7:D7"/>
    <mergeCell ref="E7:G7"/>
    <mergeCell ref="A9:C9"/>
    <mergeCell ref="A5:B5"/>
    <mergeCell ref="C5:G5"/>
    <mergeCell ref="Y16:Z16"/>
    <mergeCell ref="AB16:AC16"/>
    <mergeCell ref="U18:X18"/>
    <mergeCell ref="Y18:Z18"/>
    <mergeCell ref="AB3:AC3"/>
    <mergeCell ref="Y12:Z12"/>
    <mergeCell ref="AB12:AC12"/>
    <mergeCell ref="U14:X14"/>
    <mergeCell ref="Y14:Z14"/>
    <mergeCell ref="Y3:Z3"/>
    <mergeCell ref="AB7:AC7"/>
  </mergeCells>
  <phoneticPr fontId="3" type="noConversion"/>
  <pageMargins left="0.74803149606299213" right="0.51181102362204722" top="0.98425196850393704" bottom="0.59055118110236227" header="0.51181102362204722" footer="0.51181102362204722"/>
  <pageSetup paperSize="9" scale="90" orientation="portrait" r:id="rId1"/>
  <headerFooter alignWithMargins="0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26</vt:i4>
      </vt:variant>
    </vt:vector>
  </HeadingPairs>
  <TitlesOfParts>
    <vt:vector size="42" baseType="lpstr">
      <vt:lpstr>Grunnur  </vt:lpstr>
      <vt:lpstr>Reikningur 1</vt:lpstr>
      <vt:lpstr>Reikningur 2</vt:lpstr>
      <vt:lpstr>Reikningur 3</vt:lpstr>
      <vt:lpstr>Reikningur 4</vt:lpstr>
      <vt:lpstr>Reikningur 5</vt:lpstr>
      <vt:lpstr>Reikningur 6</vt:lpstr>
      <vt:lpstr>Reikningur 7</vt:lpstr>
      <vt:lpstr>Reikningur 8</vt:lpstr>
      <vt:lpstr>Reikningur 9</vt:lpstr>
      <vt:lpstr>Reikningur 10</vt:lpstr>
      <vt:lpstr>Reikningur 11</vt:lpstr>
      <vt:lpstr>Reikningur 12</vt:lpstr>
      <vt:lpstr>Reikningur 13</vt:lpstr>
      <vt:lpstr>Reikningur 14</vt:lpstr>
      <vt:lpstr>Reikningur 15</vt:lpstr>
      <vt:lpstr>Biðtími_smábíll_einv</vt:lpstr>
      <vt:lpstr>Biðtími_vörubíll_einv</vt:lpstr>
      <vt:lpstr>Fast_gjald_fjöldi_gjalddaga</vt:lpstr>
      <vt:lpstr>Fast_gjald_hlutfall</vt:lpstr>
      <vt:lpstr>Fast_gjald_kr.</vt:lpstr>
      <vt:lpstr>Fast_gjald_prósent</vt:lpstr>
      <vt:lpstr>Grunnvísitala_Laun</vt:lpstr>
      <vt:lpstr>Grunnvísitala_Vinnuvélar</vt:lpstr>
      <vt:lpstr>Grunnvísitala_vörubílar</vt:lpstr>
      <vt:lpstr>Heildarupphæð</vt:lpstr>
      <vt:lpstr>Kennitala</vt:lpstr>
      <vt:lpstr>'Reikningur 1'!Print_Titles</vt:lpstr>
      <vt:lpstr>Smábíll_einv</vt:lpstr>
      <vt:lpstr>Vinnulaun_vægi</vt:lpstr>
      <vt:lpstr>Vinnuvél_1_einv</vt:lpstr>
      <vt:lpstr>Vinnuvél_2_einv</vt:lpstr>
      <vt:lpstr>Vinnuvél_3_einv</vt:lpstr>
      <vt:lpstr>Vinnuvél_4_einv</vt:lpstr>
      <vt:lpstr>Vinnuvélar_vægi</vt:lpstr>
      <vt:lpstr>Vísitala_vægi_laun</vt:lpstr>
      <vt:lpstr>Vísitala_vægi_vinnuvélar</vt:lpstr>
      <vt:lpstr>Vísitala_Vægi_vörubílar</vt:lpstr>
      <vt:lpstr>Vísitöluviðmið_pr_mán.</vt:lpstr>
      <vt:lpstr>Vörubílar_vægi</vt:lpstr>
      <vt:lpstr>Vörubíll_mokstur_einv</vt:lpstr>
      <vt:lpstr>Vörubíll_undirtönn_einv</vt:lpstr>
    </vt:vector>
  </TitlesOfParts>
  <Company>Vegagerðin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Guðmundur Ragnarsson</dc:creator>
  <cp:lastModifiedBy>Einar Gíslason</cp:lastModifiedBy>
  <cp:lastPrinted>2010-10-13T16:01:21Z</cp:lastPrinted>
  <dcterms:created xsi:type="dcterms:W3CDTF">2009-01-26T10:35:17Z</dcterms:created>
  <dcterms:modified xsi:type="dcterms:W3CDTF">2010-11-17T13:13:13Z</dcterms:modified>
</cp:coreProperties>
</file>